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6570" windowWidth="19170" windowHeight="6630" tabRatio="601"/>
  </bookViews>
  <sheets>
    <sheet name="Sheet1" sheetId="1" r:id="rId1"/>
    <sheet name="Sheet2" sheetId="2" r:id="rId2"/>
  </sheets>
  <definedNames>
    <definedName name="_xlnm.Print_Titles" localSheetId="0">Sheet1!$4:$6</definedName>
  </definedNames>
  <calcPr calcId="145621"/>
</workbook>
</file>

<file path=xl/calcChain.xml><?xml version="1.0" encoding="utf-8"?>
<calcChain xmlns="http://schemas.openxmlformats.org/spreadsheetml/2006/main">
  <c r="D124" i="2" l="1"/>
  <c r="AI120" i="1"/>
  <c r="AF120" i="1"/>
  <c r="AC120" i="1"/>
  <c r="Z120" i="1"/>
  <c r="W120" i="1"/>
  <c r="T120" i="1"/>
  <c r="Q120" i="1"/>
  <c r="N120" i="1"/>
  <c r="K120" i="1"/>
  <c r="H120" i="1"/>
  <c r="AC119" i="1"/>
  <c r="Z119" i="1"/>
  <c r="W119" i="1"/>
  <c r="T119" i="1"/>
  <c r="Q119" i="1"/>
  <c r="N119" i="1"/>
  <c r="K119" i="1"/>
  <c r="H119" i="1"/>
  <c r="K117" i="1"/>
  <c r="H117" i="1"/>
  <c r="AF116" i="1"/>
  <c r="AC116" i="1"/>
  <c r="Z116" i="1"/>
  <c r="W116" i="1"/>
  <c r="T116" i="1"/>
  <c r="Q116" i="1"/>
  <c r="N116" i="1"/>
  <c r="K116" i="1"/>
  <c r="H116" i="1"/>
  <c r="W115" i="1"/>
  <c r="T115" i="1"/>
  <c r="Q115" i="1"/>
  <c r="N115" i="1"/>
  <c r="K115" i="1"/>
  <c r="H115" i="1"/>
  <c r="K114" i="1"/>
  <c r="H114" i="1"/>
  <c r="H113" i="1"/>
  <c r="Q112" i="1"/>
  <c r="N112" i="1"/>
  <c r="K112" i="1"/>
  <c r="H112" i="1"/>
  <c r="Q111" i="1"/>
  <c r="N111" i="1"/>
  <c r="K111" i="1"/>
  <c r="H111" i="1"/>
  <c r="AC110" i="1"/>
  <c r="Z110" i="1"/>
  <c r="W110" i="1"/>
  <c r="T110" i="1"/>
  <c r="Q110" i="1"/>
  <c r="N110" i="1"/>
  <c r="K110" i="1"/>
  <c r="H110" i="1"/>
  <c r="T109" i="1"/>
  <c r="Q109" i="1"/>
  <c r="N109" i="1"/>
  <c r="K109" i="1"/>
  <c r="H109" i="1"/>
  <c r="AC108" i="1"/>
  <c r="Z108" i="1"/>
  <c r="W108" i="1"/>
  <c r="T108" i="1"/>
  <c r="Q108" i="1"/>
  <c r="N108" i="1"/>
  <c r="K108" i="1"/>
  <c r="H108" i="1"/>
  <c r="H107" i="1"/>
  <c r="AF106" i="1"/>
  <c r="AC106" i="1"/>
  <c r="Z106" i="1"/>
  <c r="W106" i="1"/>
  <c r="T106" i="1"/>
  <c r="Q106" i="1"/>
  <c r="N106" i="1"/>
  <c r="K106" i="1"/>
  <c r="H106" i="1"/>
  <c r="K105" i="1"/>
  <c r="H105" i="1"/>
  <c r="K104" i="1"/>
  <c r="H104" i="1"/>
  <c r="T103" i="1"/>
  <c r="Q103" i="1"/>
  <c r="N103" i="1"/>
  <c r="K103" i="1"/>
  <c r="H103" i="1"/>
  <c r="K102" i="1"/>
  <c r="H102" i="1"/>
  <c r="AC101" i="1"/>
  <c r="Z101" i="1"/>
  <c r="W101" i="1"/>
  <c r="T101" i="1"/>
  <c r="Q101" i="1"/>
  <c r="N101" i="1"/>
  <c r="K101" i="1"/>
  <c r="H101" i="1"/>
  <c r="K100" i="1"/>
  <c r="H100" i="1"/>
  <c r="AF99" i="1"/>
  <c r="AC99" i="1"/>
  <c r="Z99" i="1"/>
  <c r="W99" i="1"/>
  <c r="T99" i="1"/>
  <c r="Q99" i="1"/>
  <c r="N99" i="1"/>
  <c r="K99" i="1"/>
  <c r="H99" i="1"/>
  <c r="AI98" i="1"/>
  <c r="AF98" i="1"/>
  <c r="AC98" i="1"/>
  <c r="Z98" i="1"/>
  <c r="W98" i="1"/>
  <c r="T98" i="1"/>
  <c r="Q98" i="1"/>
  <c r="N98" i="1"/>
  <c r="K98" i="1"/>
  <c r="H98" i="1"/>
  <c r="Q97" i="1"/>
  <c r="N97" i="1"/>
  <c r="K97" i="1"/>
  <c r="H97" i="1"/>
  <c r="Z96" i="1"/>
  <c r="W96" i="1"/>
  <c r="T96" i="1"/>
  <c r="Q96" i="1"/>
  <c r="N96" i="1"/>
  <c r="K96" i="1"/>
  <c r="H96" i="1"/>
  <c r="AF95" i="1"/>
  <c r="AC95" i="1"/>
  <c r="Z95" i="1"/>
  <c r="W95" i="1"/>
  <c r="T95" i="1"/>
  <c r="Q95" i="1"/>
  <c r="N95" i="1"/>
  <c r="K95" i="1"/>
  <c r="H95" i="1"/>
  <c r="T94" i="1"/>
  <c r="Q94" i="1"/>
  <c r="N94" i="1"/>
  <c r="K94" i="1"/>
  <c r="H94" i="1"/>
  <c r="T93" i="1"/>
  <c r="Q93" i="1"/>
  <c r="N93" i="1"/>
  <c r="K93" i="1"/>
  <c r="H93" i="1"/>
  <c r="K92" i="1"/>
  <c r="H92" i="1"/>
  <c r="AC91" i="1"/>
  <c r="Z91" i="1"/>
  <c r="W91" i="1"/>
  <c r="T91" i="1"/>
  <c r="Q91" i="1"/>
  <c r="N91" i="1"/>
  <c r="K91" i="1"/>
  <c r="H91" i="1"/>
  <c r="K90" i="1"/>
  <c r="H90" i="1"/>
  <c r="K89" i="1"/>
  <c r="H89" i="1"/>
  <c r="AF88" i="1"/>
  <c r="AC88" i="1"/>
  <c r="Z88" i="1"/>
  <c r="W88" i="1"/>
  <c r="T88" i="1"/>
  <c r="Q88" i="1"/>
  <c r="N88" i="1"/>
  <c r="K88" i="1"/>
  <c r="H88" i="1"/>
  <c r="K87" i="1"/>
  <c r="H87" i="1"/>
  <c r="T86" i="1"/>
  <c r="Q86" i="1"/>
  <c r="N86" i="1"/>
  <c r="K86" i="1"/>
  <c r="H86" i="1"/>
  <c r="Q85" i="1"/>
  <c r="N85" i="1"/>
  <c r="K85" i="1"/>
  <c r="H85" i="1"/>
  <c r="AI84" i="1"/>
  <c r="AF84" i="1"/>
  <c r="AC84" i="1"/>
  <c r="Z84" i="1"/>
  <c r="W84" i="1"/>
  <c r="T84" i="1"/>
  <c r="Q84" i="1"/>
  <c r="N84" i="1"/>
  <c r="K84" i="1"/>
  <c r="H84" i="1"/>
  <c r="W83" i="1"/>
  <c r="T83" i="1"/>
  <c r="Q83" i="1"/>
  <c r="N83" i="1"/>
  <c r="K83" i="1"/>
  <c r="H83" i="1"/>
  <c r="Z81" i="1"/>
  <c r="W81" i="1"/>
  <c r="T81" i="1"/>
  <c r="Q81" i="1"/>
  <c r="N81" i="1"/>
  <c r="K81" i="1"/>
  <c r="H81" i="1"/>
  <c r="H80" i="1"/>
  <c r="N79" i="1"/>
  <c r="K79" i="1"/>
  <c r="H79" i="1"/>
  <c r="H78" i="1"/>
  <c r="Z77" i="1"/>
  <c r="W77" i="1"/>
  <c r="T77" i="1"/>
  <c r="Q77" i="1"/>
  <c r="N77" i="1"/>
  <c r="K77" i="1"/>
  <c r="H77" i="1"/>
  <c r="AC76" i="1"/>
  <c r="Z76" i="1"/>
  <c r="W76" i="1"/>
  <c r="T76" i="1"/>
  <c r="Q76" i="1"/>
  <c r="N76" i="1"/>
  <c r="K76" i="1"/>
  <c r="H76" i="1"/>
  <c r="AC75" i="1"/>
  <c r="Z75" i="1"/>
  <c r="W75" i="1"/>
  <c r="T75" i="1"/>
  <c r="Q75" i="1"/>
  <c r="N75" i="1"/>
  <c r="K75" i="1"/>
  <c r="H75" i="1"/>
  <c r="AC74" i="1"/>
  <c r="Z74" i="1"/>
  <c r="W74" i="1"/>
  <c r="T74" i="1"/>
  <c r="Q74" i="1"/>
  <c r="N74" i="1"/>
  <c r="K74" i="1"/>
  <c r="H74" i="1"/>
  <c r="T73" i="1"/>
  <c r="Q73" i="1"/>
  <c r="N73" i="1"/>
  <c r="K73" i="1"/>
  <c r="H73" i="1"/>
  <c r="AI72" i="1"/>
  <c r="AF72" i="1"/>
  <c r="AC72" i="1"/>
  <c r="Z72" i="1"/>
  <c r="W72" i="1"/>
  <c r="T72" i="1"/>
  <c r="Q72" i="1"/>
  <c r="N72" i="1"/>
  <c r="K72" i="1"/>
  <c r="H72" i="1"/>
  <c r="Q67" i="1"/>
  <c r="N67" i="1"/>
  <c r="K67" i="1"/>
  <c r="H67" i="1"/>
  <c r="K66" i="1"/>
  <c r="H66" i="1"/>
  <c r="Z65" i="1"/>
  <c r="W65" i="1"/>
  <c r="T65" i="1"/>
  <c r="Q65" i="1"/>
  <c r="N65" i="1"/>
  <c r="K65" i="1"/>
  <c r="H65" i="1"/>
  <c r="K64" i="1"/>
  <c r="H64" i="1"/>
  <c r="AC63" i="1"/>
  <c r="Z63" i="1"/>
  <c r="W63" i="1"/>
  <c r="T63" i="1"/>
  <c r="Q63" i="1"/>
  <c r="N63" i="1"/>
  <c r="K63" i="1"/>
  <c r="H63" i="1"/>
  <c r="AC62" i="1"/>
  <c r="Z62" i="1"/>
  <c r="W62" i="1"/>
  <c r="T62" i="1"/>
  <c r="Q62" i="1"/>
  <c r="N62" i="1"/>
  <c r="K62" i="1"/>
  <c r="H62" i="1"/>
  <c r="H61" i="1"/>
  <c r="K60" i="1"/>
  <c r="H60" i="1"/>
  <c r="T59" i="1"/>
  <c r="Q59" i="1"/>
  <c r="N59" i="1"/>
  <c r="K59" i="1"/>
  <c r="H59" i="1"/>
  <c r="K58" i="1"/>
  <c r="H58" i="1"/>
  <c r="AC57" i="1"/>
  <c r="Z57" i="1"/>
  <c r="W57" i="1"/>
  <c r="T57" i="1"/>
  <c r="Q57" i="1"/>
  <c r="N57" i="1"/>
  <c r="K57" i="1"/>
  <c r="H57" i="1"/>
  <c r="K56" i="1"/>
  <c r="H56" i="1"/>
  <c r="H55" i="1"/>
  <c r="K54" i="1"/>
  <c r="H54" i="1"/>
  <c r="H53" i="1"/>
  <c r="AC52" i="1"/>
  <c r="Z52" i="1"/>
  <c r="W52" i="1"/>
  <c r="T52" i="1"/>
  <c r="Q52" i="1"/>
  <c r="N52" i="1"/>
  <c r="K52" i="1"/>
  <c r="H52" i="1"/>
  <c r="AC51" i="1"/>
  <c r="Z51" i="1"/>
  <c r="W51" i="1"/>
  <c r="T51" i="1"/>
  <c r="Q51" i="1"/>
  <c r="N51" i="1"/>
  <c r="K51" i="1"/>
  <c r="H51" i="1"/>
  <c r="K50" i="1"/>
  <c r="H50" i="1"/>
  <c r="K49" i="1"/>
  <c r="H49" i="1"/>
  <c r="K48" i="1"/>
  <c r="H48" i="1"/>
  <c r="AI46" i="1"/>
  <c r="AF46" i="1"/>
  <c r="AC46" i="1"/>
  <c r="Z46" i="1"/>
  <c r="W46" i="1"/>
  <c r="T46" i="1"/>
  <c r="Q46" i="1"/>
  <c r="N46" i="1"/>
  <c r="K46" i="1"/>
  <c r="H46" i="1"/>
  <c r="K43" i="1"/>
  <c r="H43" i="1"/>
  <c r="K42" i="1"/>
  <c r="H42" i="1"/>
  <c r="K41" i="1"/>
  <c r="H41" i="1"/>
  <c r="K40" i="1"/>
  <c r="H40" i="1"/>
  <c r="T39" i="1"/>
  <c r="Q39" i="1"/>
  <c r="N39" i="1"/>
  <c r="K39" i="1"/>
  <c r="H39" i="1"/>
  <c r="H38" i="1"/>
  <c r="H37" i="1"/>
  <c r="H36" i="1"/>
  <c r="K35" i="1"/>
  <c r="H35" i="1"/>
  <c r="K34" i="1"/>
  <c r="H34" i="1"/>
  <c r="K33" i="1"/>
  <c r="H33" i="1"/>
  <c r="K32" i="1"/>
  <c r="H32" i="1"/>
  <c r="AI31" i="1"/>
  <c r="AF31" i="1"/>
  <c r="AC31" i="1"/>
  <c r="Z31" i="1"/>
  <c r="W31" i="1"/>
  <c r="T31" i="1"/>
  <c r="Q31" i="1"/>
  <c r="N31" i="1"/>
  <c r="K31" i="1"/>
  <c r="H31" i="1"/>
  <c r="H30" i="1"/>
  <c r="H29" i="1"/>
  <c r="H28" i="1"/>
  <c r="K27" i="1"/>
  <c r="H27" i="1"/>
  <c r="K26" i="1"/>
  <c r="H26" i="1"/>
  <c r="Q25" i="1"/>
  <c r="N25" i="1"/>
  <c r="K25" i="1"/>
  <c r="H25" i="1"/>
  <c r="AI24" i="1"/>
  <c r="AF24" i="1"/>
  <c r="AC24" i="1"/>
  <c r="Z24" i="1"/>
  <c r="W24" i="1"/>
  <c r="T24" i="1"/>
  <c r="Q24" i="1"/>
  <c r="N24" i="1"/>
  <c r="K24" i="1"/>
  <c r="H24" i="1"/>
  <c r="AI23" i="1"/>
  <c r="AF23" i="1"/>
  <c r="AC23" i="1"/>
  <c r="Z23" i="1"/>
  <c r="W23" i="1"/>
  <c r="T23" i="1"/>
  <c r="Q23" i="1"/>
  <c r="N23" i="1"/>
  <c r="K23" i="1"/>
  <c r="H23" i="1"/>
  <c r="H22" i="1"/>
  <c r="Q21" i="1"/>
  <c r="N21" i="1"/>
  <c r="K21" i="1"/>
  <c r="H21" i="1"/>
  <c r="H20" i="1"/>
  <c r="K19" i="1"/>
  <c r="H19" i="1"/>
  <c r="K18" i="1"/>
  <c r="H18" i="1"/>
  <c r="H17" i="1"/>
  <c r="H16" i="1"/>
  <c r="T15" i="1"/>
  <c r="Q15" i="1"/>
  <c r="Q121" i="1" s="1"/>
  <c r="N15" i="1"/>
  <c r="K15" i="1"/>
  <c r="H15" i="1"/>
  <c r="AI14" i="1"/>
  <c r="AF14" i="1"/>
  <c r="AC14" i="1"/>
  <c r="Z14" i="1"/>
  <c r="W14" i="1"/>
  <c r="T14" i="1"/>
  <c r="Q14" i="1"/>
  <c r="N14" i="1"/>
  <c r="K14" i="1"/>
  <c r="H14" i="1"/>
  <c r="H13" i="1"/>
  <c r="H11" i="1"/>
  <c r="H10" i="1"/>
  <c r="K9" i="1"/>
  <c r="H9" i="1"/>
  <c r="AI8" i="1"/>
  <c r="AI121" i="1" s="1"/>
  <c r="AF8" i="1"/>
  <c r="AF121" i="1" s="1"/>
  <c r="AC8" i="1"/>
  <c r="AC121" i="1" s="1"/>
  <c r="Z8" i="1"/>
  <c r="Z121" i="1" s="1"/>
  <c r="W8" i="1"/>
  <c r="W121" i="1" s="1"/>
  <c r="T8" i="1"/>
  <c r="T121" i="1" s="1"/>
  <c r="Q8" i="1"/>
  <c r="N8" i="1"/>
  <c r="N121" i="1" s="1"/>
  <c r="K8" i="1"/>
  <c r="K121" i="1" s="1"/>
  <c r="H8" i="1"/>
  <c r="H121" i="1" s="1"/>
</calcChain>
</file>

<file path=xl/sharedStrings.xml><?xml version="1.0" encoding="utf-8"?>
<sst xmlns="http://schemas.openxmlformats.org/spreadsheetml/2006/main" count="1998" uniqueCount="776">
  <si>
    <t>Orlando Sanford Airport</t>
  </si>
  <si>
    <t>Monthly</t>
  </si>
  <si>
    <t xml:space="preserve">Lease </t>
  </si>
  <si>
    <t>Months in</t>
  </si>
  <si>
    <t>Total</t>
  </si>
  <si>
    <t>Tenant</t>
  </si>
  <si>
    <t>Building #</t>
  </si>
  <si>
    <t>Amount</t>
  </si>
  <si>
    <t>Expiration</t>
  </si>
  <si>
    <t>Fiscal Year</t>
  </si>
  <si>
    <t>Year</t>
  </si>
  <si>
    <t xml:space="preserve">Months in </t>
  </si>
  <si>
    <t>Orlando Sanford International Airport</t>
  </si>
  <si>
    <t>Month-to-Month Leases</t>
  </si>
  <si>
    <t>Building</t>
  </si>
  <si>
    <t>Lease #</t>
  </si>
  <si>
    <t>Minimum Rentals - Noncancelable Leases  3/6/2018</t>
  </si>
  <si>
    <t>9/30/2018</t>
  </si>
  <si>
    <t>9/30/2019</t>
  </si>
  <si>
    <t>9/30/2020</t>
  </si>
  <si>
    <t>9/30/2021</t>
  </si>
  <si>
    <t>9/30/2022</t>
  </si>
  <si>
    <t>9/30/2023</t>
  </si>
  <si>
    <t>9/30/2028</t>
  </si>
  <si>
    <t>9/30/2033</t>
  </si>
  <si>
    <t>9/30/2038</t>
  </si>
  <si>
    <t>10/1/2038 and beyond</t>
  </si>
  <si>
    <t>2009-909</t>
  </si>
  <si>
    <t>Dollar Rent A Car (Dollar Concession)</t>
  </si>
  <si>
    <t>(unknown)</t>
  </si>
  <si>
    <t/>
  </si>
  <si>
    <t>2001-022</t>
  </si>
  <si>
    <t>Broadway Services (Broadway Services (Bldg. 13))</t>
  </si>
  <si>
    <t>Property 013-0-B (2885 S. Mellonville Ave)</t>
  </si>
  <si>
    <t>8/31/2019</t>
  </si>
  <si>
    <t>2009-028</t>
  </si>
  <si>
    <t>Gator Dock &amp; Marine Acquisition, LLC (Gator Dock &amp; Marine Acqauisition, LLC (Bldgs. 16 &amp; 425))</t>
  </si>
  <si>
    <t>Property 016-0-B (2880 S. Mellonville Ave), Property 425-0-B (2880 S. Mellonville Ave), Property 016-0-L (2880 S. Mellonville Ave), Property 016-A-B (2880 S. Mellonville Ave), Property 016-B-B (2880 S. Mellonville Ave), Property 016-C-B (2880 S. Mellonville Ave)</t>
  </si>
  <si>
    <t>7/31/2018</t>
  </si>
  <si>
    <t>2003-003</t>
  </si>
  <si>
    <t>Genesis Mfg &amp; Engineering, Inc. (Genesis (Bldg- 37))</t>
  </si>
  <si>
    <t>Property 037-0-B (3018 Navigator Ave)</t>
  </si>
  <si>
    <t>1/31/2018</t>
  </si>
  <si>
    <t>2005-010</t>
  </si>
  <si>
    <t>Allegiant Air, LLC (Allegiant Air (Ground Lease))</t>
  </si>
  <si>
    <t>Property 125-0-R</t>
  </si>
  <si>
    <t>4/30/2015</t>
  </si>
  <si>
    <t>2012-025</t>
  </si>
  <si>
    <t>The Lite House, LLC (The Lite House, LLC (Bldg. 126))</t>
  </si>
  <si>
    <t>Property 126-0-B (2854 Flightline Ave)</t>
  </si>
  <si>
    <t>3000-030</t>
  </si>
  <si>
    <t>SAA - Maintenance</t>
  </si>
  <si>
    <t>Property 128-0-B (1301 E. 26th Pl), Property 129-0-B (2741 Navigator Ave), Property 128-A-B (1301 E. 26th Pl), Property 214-0-B (2735 Navigator Ave), Property 250-11-F (1331 E. 29th St.), Property 285-0-B (2715 Navigator Ave), Property 250-6A-F (1331 E. 29th St.), Property 250-5-F (1331 E. 29th St.)</t>
  </si>
  <si>
    <t>2017-021</t>
  </si>
  <si>
    <t>CONSTANT AVIATION, LLC (Constant Aviation)</t>
  </si>
  <si>
    <t>Property 130-0-B (2747 Carrier Ave)</t>
  </si>
  <si>
    <t>6/30/2022</t>
  </si>
  <si>
    <t>2015-024</t>
  </si>
  <si>
    <t>The Brantly Corp (The Brantly Corporation (Bldg. 132))</t>
  </si>
  <si>
    <t>Property 132-0-B (2805 Carrier Ave)</t>
  </si>
  <si>
    <t>1/3/2018</t>
  </si>
  <si>
    <t>2017-006</t>
  </si>
  <si>
    <t>Win4Autism, Inc</t>
  </si>
  <si>
    <t>Property 138-n-B (2764 Navigator Ave), Property 138-s-B (2764 Navigator Ave)</t>
  </si>
  <si>
    <t>2015-023</t>
  </si>
  <si>
    <t>Win4Autism, Inc (Win4Autism, Inc. (Bldg. 139))</t>
  </si>
  <si>
    <t>Property 139-0-B (2776-86 Navigator Avenue)</t>
  </si>
  <si>
    <t>12/3/2018</t>
  </si>
  <si>
    <t>2014-023</t>
  </si>
  <si>
    <t>Athens Towing &amp; Recovery, Inc (Athens Towing (Bldg. 140))</t>
  </si>
  <si>
    <t>Property 140-N-B (2773 Navigator Ave), Property 140-S-B (2783 Navigator Ave)</t>
  </si>
  <si>
    <t>9/14/2019</t>
  </si>
  <si>
    <t>2014-016</t>
  </si>
  <si>
    <t>Accordant Communications, LLC (Accordant Communications, INc. (Bldg. 141))</t>
  </si>
  <si>
    <t>Property 141-0-B (2774 Carrier Ave)</t>
  </si>
  <si>
    <t>6/16/2018</t>
  </si>
  <si>
    <t>2016-020</t>
  </si>
  <si>
    <t>Architectural Effects, LLC (Architectural Effects)</t>
  </si>
  <si>
    <t>Property 142-E-B (1143 30th St - East)</t>
  </si>
  <si>
    <t>8/31/2021</t>
  </si>
  <si>
    <t>2010-020</t>
  </si>
  <si>
    <t>Avocet Capital, LLC (Avocet Capital, LLC (Bldg. 142-W))</t>
  </si>
  <si>
    <t>Property 142-W-B (1143 30th St - West)</t>
  </si>
  <si>
    <t>8/16/2018</t>
  </si>
  <si>
    <t>2012-020</t>
  </si>
  <si>
    <t>Airline Training &amp; Leasing Corp (Airline Training &amp; Leasing USA (Bldg. 145))</t>
  </si>
  <si>
    <t>Property 145-0-B (1642 Hangar Rd)</t>
  </si>
  <si>
    <t>8/31/2045</t>
  </si>
  <si>
    <t>2015-005</t>
  </si>
  <si>
    <t>Airline Training &amp; Leasing Corp (Airline Training &amp; Leasing USA (Bldg. 145-Land))</t>
  </si>
  <si>
    <t>Property 145-A-L (1650 Hangar Rd.), Property 145-A-B (1650 Hangar Rd)</t>
  </si>
  <si>
    <t>2011-000</t>
  </si>
  <si>
    <t>Allegiant Air, LLC (Allegiant Air, LLC (Bldg. 146))</t>
  </si>
  <si>
    <t>Property 146-0-B (1682 Hangar Rd)</t>
  </si>
  <si>
    <t>1/31/2021</t>
  </si>
  <si>
    <t>2015-017</t>
  </si>
  <si>
    <t>Airline Training &amp; Leasing Corp (Airline Training &amp; Leasing USA (Bldg. 148))</t>
  </si>
  <si>
    <t>Property 148-0-B (1711 Hangar Rd)</t>
  </si>
  <si>
    <t>7/31/2019</t>
  </si>
  <si>
    <t>2014-025</t>
  </si>
  <si>
    <t>Trinity Technology Group, Inc (Trinity Technology Group, Inc. (Bldg. 255-E))</t>
  </si>
  <si>
    <t>Property 255-E-B (1725 Hangar Rd)</t>
  </si>
  <si>
    <t>2009-012</t>
  </si>
  <si>
    <t>Florida Clay Art, Co. (Florida Clay Art, Co. (Bldg 256))</t>
  </si>
  <si>
    <t>Property 256-0-B (1645 Hangar Rd), Property 256-0-L (1645 Hangar Rd)</t>
  </si>
  <si>
    <t>6/30/2018</t>
  </si>
  <si>
    <t>2017-010</t>
  </si>
  <si>
    <t>Skimmer Skiffs, LLC (SKIMMER SKIFFS)</t>
  </si>
  <si>
    <t>Property 262-0-B (2751 Flightline Ave)</t>
  </si>
  <si>
    <t>4/30/2018</t>
  </si>
  <si>
    <t>1989-005</t>
  </si>
  <si>
    <t>Aerosim Academy, Inc. (formerly Delta Connection Academy, Inc.) (Aerosim Flight Academy (Bldgs. 455, 289, 297, 131, Land, Ramp, 516))</t>
  </si>
  <si>
    <t>Property 289-0-B (2700 Flightline Ave), Property 297-0-B (2694 Flightline Ave), Property 131-0-B (2649 Flightline Ave), Property 131-0-L (2649 Flightline Ave), Property 131-0-R (2649 Flightline Ave), Property 455-0-B (1350 E. 26th Pl), Property 210-1-F (1250 30th St), Property 136-0-B (2694 Flightline Ave Suite A), Property 210-2-F (1250 30th St), Property 516-0-B (1320 E. 26th Pl), Property 516-0-B (1320 E. 26th Pl)</t>
  </si>
  <si>
    <t>8/31/2018</t>
  </si>
  <si>
    <t>2017-024</t>
  </si>
  <si>
    <t>Orlando Sanford International, Inc. (OSI)</t>
  </si>
  <si>
    <t>Property 296-F01-F, Property 296-F02-F, Property 296-F03-F, Property 296-F04-F, Property 296-F05-F, Property 296-F06-F, Property 296-F07-F, Property 296-F08-F, Property 296-F09-F, Property 296-F13-F, Property 296-F14-F</t>
  </si>
  <si>
    <t>1/31/2039</t>
  </si>
  <si>
    <t>2017-002</t>
  </si>
  <si>
    <t>MURRAY, CHRISTOPHER (MURRAY, CHRISTOPHER AND MARY)</t>
  </si>
  <si>
    <t>Property 298-N-B (3105 Rudder Circle)</t>
  </si>
  <si>
    <t>1/31/2019</t>
  </si>
  <si>
    <t>2014-003</t>
  </si>
  <si>
    <t>Smith, Coty A (Smith, Coty (Bldg. 298-S))</t>
  </si>
  <si>
    <t>Property 298-S-B (3107 Rudder Circle)</t>
  </si>
  <si>
    <t>2/14/2019</t>
  </si>
  <si>
    <t>2003-001</t>
  </si>
  <si>
    <t>Nolette, Donald &amp; Laura (Nolette, Donald (Bldg. 299))</t>
  </si>
  <si>
    <t>Property 299-0-B (3114 Rudder Circle)</t>
  </si>
  <si>
    <t>12/31/2018</t>
  </si>
  <si>
    <t>2008-039</t>
  </si>
  <si>
    <t>SMITH, MARY (Smith, Mary (Bldg. 300-S))</t>
  </si>
  <si>
    <t>Property 300-S-B (3106 Rudder Circle)</t>
  </si>
  <si>
    <t>2014-012</t>
  </si>
  <si>
    <t>Manso, Jeyza (Manso, Jeyza (Bldg. 301))</t>
  </si>
  <si>
    <t>Property 301-0-B (2822 Aileron Circle)</t>
  </si>
  <si>
    <t>5/31/2018</t>
  </si>
  <si>
    <t>2012-019</t>
  </si>
  <si>
    <t>Rozzo, Candice (Rozzo, Candice (Bldg. 303))</t>
  </si>
  <si>
    <t>Property 303-0-B (2850 Aileron Circle)</t>
  </si>
  <si>
    <t>2010-032</t>
  </si>
  <si>
    <t>Aerosim Academy, Inc. (Aerosim Flight Academy (Bldg. 310))</t>
  </si>
  <si>
    <t>Property 310-0-B (1345 28th St), Property 310-3-F (1345-28th St), Property 310-2-F (1345-28th St)</t>
  </si>
  <si>
    <t>2009-052</t>
  </si>
  <si>
    <t>Seminole County Sheriffs Office (Seminole Co. Sheriffs Office (310) Training)</t>
  </si>
  <si>
    <t>Property 310-T-L (28th and Navigator Ave)</t>
  </si>
  <si>
    <t>2014-002</t>
  </si>
  <si>
    <t>Aircraft Services International Group (ASIG) (ASIG (Bldg. 317))</t>
  </si>
  <si>
    <t>Property 317-0-B (1690 Hangar Rd)</t>
  </si>
  <si>
    <t>2001-044</t>
  </si>
  <si>
    <t>Vertical Aviation Technologies, Inc. (Vertical Aviation (Bldg 332))</t>
  </si>
  <si>
    <t>Property 332-0-B (1609 Hangar Rd)</t>
  </si>
  <si>
    <t>11/30/2018</t>
  </si>
  <si>
    <t>2016-002</t>
  </si>
  <si>
    <t>RP Sales and Leasing, Inc. (RP Sales and Leasing, Inc.)</t>
  </si>
  <si>
    <t>Property 333-A-B (1620 Hangar Rd)</t>
  </si>
  <si>
    <t>1/4/2019</t>
  </si>
  <si>
    <t>2012-011</t>
  </si>
  <si>
    <t>Synergy Wood Products, Inc.</t>
  </si>
  <si>
    <t>Property 400-0-B (3017 S. Mellonville Ave)</t>
  </si>
  <si>
    <t>3/31/2019</t>
  </si>
  <si>
    <t>2010-025</t>
  </si>
  <si>
    <t>Avocet Capital, LLC</t>
  </si>
  <si>
    <t>Property 404-18-E (1800 E Airport Blvd)</t>
  </si>
  <si>
    <t>8/13/2011</t>
  </si>
  <si>
    <t>2012-021</t>
  </si>
  <si>
    <t>Davis, Charles</t>
  </si>
  <si>
    <t>Property 406-32-E (1804 E Airport Blvd)</t>
  </si>
  <si>
    <t>5/31/2013</t>
  </si>
  <si>
    <t>3000-012</t>
  </si>
  <si>
    <t>SAA- IT (IT)</t>
  </si>
  <si>
    <t>Property 406-M-K (1804 E Airport Blvd), Property 052-K-K (1303 26th Place), Property 296-A-K, Property 296-D-K, Property 296-E-K</t>
  </si>
  <si>
    <t>2013-007</t>
  </si>
  <si>
    <t>Sanford RV Repair, LLC (Sanford RV Repair, LLC (Bldg. 407))</t>
  </si>
  <si>
    <t>Property 407-0-B (1211 26th Place), Property 407-0-L (1211 26th Place)</t>
  </si>
  <si>
    <t>4/30/2017</t>
  </si>
  <si>
    <t>2012-034</t>
  </si>
  <si>
    <t>Jet Star, Inc. (Jet Star, Inc. (Bldg. 409))</t>
  </si>
  <si>
    <t>Property 409-0-B (1160 30th St E.), Property 409-0-L (1160 30th St E.)</t>
  </si>
  <si>
    <t>10/7/2018</t>
  </si>
  <si>
    <t>2011-008</t>
  </si>
  <si>
    <t>Real Deal Steel, LLC (Real Deal Steel, LLC)</t>
  </si>
  <si>
    <t>Property 410-0-B (1220 30th St)</t>
  </si>
  <si>
    <t>2/28/2019</t>
  </si>
  <si>
    <t>2015-014</t>
  </si>
  <si>
    <t>Avocet Parts Trading, LLC (Avocet Parts Trading, LLC (Bldg. 415))</t>
  </si>
  <si>
    <t>Property 415-0-B (3015 Carrier Ave)</t>
  </si>
  <si>
    <t>5/30/2019</t>
  </si>
  <si>
    <t>2013-028</t>
  </si>
  <si>
    <t>Freeman Holdings of Orlando, LLC (Freeman Holdings of Orlando, LLC (Bldg. 415 Fuel Farm))</t>
  </si>
  <si>
    <t>Property 415-0-F (1331 E 29th St), Property 415-1-F (1331 E 29th St), Property 415-2-F (1331 E 29th St), Property 415-10-F (1331 E 29th St)</t>
  </si>
  <si>
    <t>7/31/2033</t>
  </si>
  <si>
    <t>2010-009</t>
  </si>
  <si>
    <t>Seminole County Board of County Commissioners</t>
  </si>
  <si>
    <t>Property 416-0-B (3355 S.R. 46 (SCFD ))</t>
  </si>
  <si>
    <t>7/7/2030</t>
  </si>
  <si>
    <t>2003-032</t>
  </si>
  <si>
    <t>Future Health Concepts, Inc. (Future Health Concepts, Inc. (Bldgs. 418 and 24))</t>
  </si>
  <si>
    <t>Property 418-0-B (1211 E. 30th St), Property 024-0-B (1211-29th St), Property 024-A-B (1211-29th St), Property 418-0-L (1211 E. 30th St)</t>
  </si>
  <si>
    <t>2002-013</t>
  </si>
  <si>
    <t>The Toro Company d/b/a Toro AG (The Toro Co. (Bldg. 422 &amp; 438))</t>
  </si>
  <si>
    <t>Property 422-0-B (3000 S. Mellonville Ave), Property 438-0-B (3000 S. Mellonville Ave)</t>
  </si>
  <si>
    <t>2009-049</t>
  </si>
  <si>
    <t>Wayne Densch Development Company (Wayne Densch, Inc. (Bldg 423))</t>
  </si>
  <si>
    <t>Property 423-0-B (1900 E. Airport Blvd)</t>
  </si>
  <si>
    <t>2013-001</t>
  </si>
  <si>
    <t>Vertical Aviation Technologies, Inc. (Vertical Aviation (Bldg. 424))</t>
  </si>
  <si>
    <t>Property 424-0-B (1600 Hangar Rd), Property 424-0-L (1600 Hangar Rd)</t>
  </si>
  <si>
    <t>2013-027</t>
  </si>
  <si>
    <t>Freeman Holdings of Orlando, LLC (Freeman Holdings of Orlando, LLC)</t>
  </si>
  <si>
    <t>Property 426-0-B (2863 Flightline Ave), Property 426-0-L (2863 Flightline Ave), Property 426-0-R (2863 Flightline Ave)</t>
  </si>
  <si>
    <t>2013-012</t>
  </si>
  <si>
    <t>American Builders Supply, Inc. (American Builders (Bldgs. 433,434,435,99,100,420 and land))</t>
  </si>
  <si>
    <t>Property 433-0-B (2901 Aileron Circle), Property 434-0-B (2903 Aileron Circle), Property 434-0-L (2903 Aileron Circle), Property 433-0-L (2901 Aileron Circle), Property 435-0-B (2905 Aileron Circle), Property 435-0-L (2905 Aileron Circle), Property 099-0-B (901 Wylly Ave.), Property 100-0-B (901 Wylly Ave.), Property 420-0-B (901 Wylly Ave), Property 420-0-L (901 Wylly Ave.), Property 564-0-B (2901 Aileron Circle)</t>
  </si>
  <si>
    <t>5/31/2019</t>
  </si>
  <si>
    <t>2013-008</t>
  </si>
  <si>
    <t>Seminole County Sheriffs Office (Seminole Co. Sheriffs Office (Bldg. 436))</t>
  </si>
  <si>
    <t>Property 436-0-B (1930 E. Airport Blvd)</t>
  </si>
  <si>
    <t>2013-003</t>
  </si>
  <si>
    <t>The Toro Company d/b/a Toro AG (The Toro Company (Bldg. 437))</t>
  </si>
  <si>
    <t>Property 437-0-B (1210 E. 29th St)</t>
  </si>
  <si>
    <t>3001-002</t>
  </si>
  <si>
    <t>SAA (SAA Bldgs)</t>
  </si>
  <si>
    <t>Property 441-108-E (2010 E Airport Blvd), Property 125-0-B (1479-29th St E), Property 296-0-B (1200 Red Cleveland Blvd.), Property 402-0-B, Property 417-0-B, Property 134-0-B (2530 Beacon Rd), Property 556-0-B (1291 E. 28th St), Property 557-0-B (2360 E. 26th Pl), Property 296-D-P (1780 Hangar Rd), Property 554-0-B (3001 Silo Point), Property 125-0-L (1479-29th St E), Property 557-0-F (2360 E. 26th Pl)</t>
  </si>
  <si>
    <t>2000-006</t>
  </si>
  <si>
    <t>CONSTANT AVIATION, LLC (CONSTANT AVIATION (Bldg 452-Ground Lease))</t>
  </si>
  <si>
    <t>Property 452-A-B (100 StarPort Way), Property 452-0-L (100 Star Port Way), Property 452-A-R (100 Starport Way - West), Property 452-1-F (100 Star Port Way), Property 452-2-F (100 Star Port Way), Property 452-3-F (100 Star Port Way)</t>
  </si>
  <si>
    <t>3/31/2030</t>
  </si>
  <si>
    <t>2000-008</t>
  </si>
  <si>
    <t>CONSTANT AVIATION, LLC (CONSTANT AVIATION (Bldg. 452-Land))</t>
  </si>
  <si>
    <t>Property 452-W-L (100 Starport Way - West), Property 452-B-L (100 Starport Way), Property 452-W-R (100 Starport Way - West)</t>
  </si>
  <si>
    <t>2005-022</t>
  </si>
  <si>
    <t>Enterprise Rent-A-Car Company (Enterprise Leasing (Bldg 453))</t>
  </si>
  <si>
    <t>Property 453-0-B (2101 E. Airport Blvd), Property 453-0-L (2101 E. Airport Blvd)</t>
  </si>
  <si>
    <t>1995-043</t>
  </si>
  <si>
    <t>Hill Dermaceuticals, Inc. (Hill Dermaceuticals (Bldg 454))</t>
  </si>
  <si>
    <t>Property 454-0-B (2650 S. Mellonville Ave), Property 454-0-L (2650 S Mellonville Ave), Property 454-1-F (2650 S Mellonville Ave)</t>
  </si>
  <si>
    <t>5/31/2026</t>
  </si>
  <si>
    <t>1998-008</t>
  </si>
  <si>
    <t>TBI -CARGO (US), Inc. (TBI  (Bldg 502-1))</t>
  </si>
  <si>
    <t>Property 502-0-B (2935 Carrier Ave), Property 502-0-L (2935 Carrier Ave), Property 502-0-R (2935 Carrier Ave)</t>
  </si>
  <si>
    <t>2005-009</t>
  </si>
  <si>
    <t>Allegiant Air, LLC (Allegiant Air (Bldg. 502-2))</t>
  </si>
  <si>
    <t>Property 502-2-B (2901 Carrier Ave)</t>
  </si>
  <si>
    <t>2007-014</t>
  </si>
  <si>
    <t>Allegiant Air, LLC (Allegiant Air (Bldg. 502-3))</t>
  </si>
  <si>
    <t>Property 502-3-B (2923 Carrier Ave)</t>
  </si>
  <si>
    <t>1/31/2017</t>
  </si>
  <si>
    <t>2006-037</t>
  </si>
  <si>
    <t>Allegiant Air, LLC (Allegiant Air (Bldg. 502-4))</t>
  </si>
  <si>
    <t>Property 502-4-B (2909 Carrier Ave)</t>
  </si>
  <si>
    <t>2005-008</t>
  </si>
  <si>
    <t>Allegiant Air, LLC (Allegiant Air (Bldg. 502-5))</t>
  </si>
  <si>
    <t>Property 502-5-B (2919 Carrier Ave)</t>
  </si>
  <si>
    <t>2007-015</t>
  </si>
  <si>
    <t>Allegiant Air, LLC (Allegiant Air (Bldg. 502-6))</t>
  </si>
  <si>
    <t>Property 502-6-B (2915 Carrier Ave)</t>
  </si>
  <si>
    <t>3000-060</t>
  </si>
  <si>
    <t>SAA - ARFF</t>
  </si>
  <si>
    <t>Property 503-0-B (550 Don Knight Ln), Property 558-0-B (541 Don Knight Lane)</t>
  </si>
  <si>
    <t>2009-050</t>
  </si>
  <si>
    <t>Seminole County Sheriffs Office (Seminole Co. Sheriffs Office (Bldg. 504))</t>
  </si>
  <si>
    <t>Property 504-0-B (500 Don Knight Ln), Property 504-0-L (500 Don Knight Ln), Property 504-0-F (500 Don Knight Ln)</t>
  </si>
  <si>
    <t>2013-024</t>
  </si>
  <si>
    <t>Freeman Holdings of Orlando, LLC (Freeman Holdings of Orlando, LLC (Bldg. 505-FBO))</t>
  </si>
  <si>
    <t>Property 505-0-B (2841 Flightline Ave), Property 505-0-L (2841 Flightline Ave), Property 505-0-R (2841 Flightline Ave)</t>
  </si>
  <si>
    <t>2013-025</t>
  </si>
  <si>
    <t>Freeman Holdings of Orlando, LLC (Freeman Holdings of Orlando, LLC (Bldg. 505 Land/Parking))</t>
  </si>
  <si>
    <t>Property 505-0-P (2841 Flightline Ave), Property 408-0-B (2835 Carrier Ave)</t>
  </si>
  <si>
    <t>2013-026</t>
  </si>
  <si>
    <t>Freeman Holdings of Orlando, LLC (Freeman Holdings of Orlando, LLC (Bldg. 505 Fuel/Tank))</t>
  </si>
  <si>
    <t>Property 505-2-F (29th St)</t>
  </si>
  <si>
    <t>1999-031</t>
  </si>
  <si>
    <t>C. E. Avionics, Inc. (C.E. Avionics, Inc. (Bldg. 507))</t>
  </si>
  <si>
    <t>Property 507-0-B (2789 Flightline Ave), Property 507-0-R (2789 Flightline Ave), Property 507-0-L (2789 Flightline Ave)</t>
  </si>
  <si>
    <t>11/17/2024</t>
  </si>
  <si>
    <t>2010-011</t>
  </si>
  <si>
    <t>Dykes, Randy (Dykes, Randy (Bldg. 513))</t>
  </si>
  <si>
    <t>Property 513-0-B (3905 Moores Station Rd), Property 513-A-B (3905 Moores Station Rd), Property 513-B-B (3905 Moores Station Rd), Property 513-C-B (3905 Moores Station Rd), Property 513-0-L (3905 Moores Station Rd)</t>
  </si>
  <si>
    <t>2007-027</t>
  </si>
  <si>
    <t>Katco Distributors, Inc. (Katco Distributors (Bldg. 515-1))</t>
  </si>
  <si>
    <t>Property 515-1-B (2848 S. Mellonville Ave)</t>
  </si>
  <si>
    <t>11/5/2019</t>
  </si>
  <si>
    <t>2016-009</t>
  </si>
  <si>
    <t>SOUTHLAND CONSTRUCTION, INC. (SOUTHLAND CONSTRUCTION)</t>
  </si>
  <si>
    <t>Property 515-2-B (2842 S. Mellonville Ave.), Property 515-3-B (2836 S. Mellonville Ave)</t>
  </si>
  <si>
    <t>2012-040</t>
  </si>
  <si>
    <t>World Duty Free, Inc. (World Duty Free, Inc. (Bldgs. 515-4 and 515-8))</t>
  </si>
  <si>
    <t>Property 515-4-B (2830 S. Mellonville Ave), Property 515-8-B (2806 S. Mellonville Ave)</t>
  </si>
  <si>
    <t>12/31/2023</t>
  </si>
  <si>
    <t>2010-021</t>
  </si>
  <si>
    <t>Seminole County Police Athletic League, Inc. (Seminole Co. PAL (Bldgs. 515-6/7))</t>
  </si>
  <si>
    <t>Property 515-6-B (2818 S. Mellonville Ave), Property 515-7-B (2812 S. Mellonville Ave)</t>
  </si>
  <si>
    <t>7/31/2017</t>
  </si>
  <si>
    <t>2012-041</t>
  </si>
  <si>
    <t>TVS CONSTRUCTION SERVICES, LLC (TVs CONSTRUCTION SERVICES LLC)</t>
  </si>
  <si>
    <t>Property 515-9-B (2800 S. Mellonville Ave)</t>
  </si>
  <si>
    <t>11/30/2022</t>
  </si>
  <si>
    <t>2015-018</t>
  </si>
  <si>
    <t>Jeteezy, Inc. (Jeteezy, Inc. (Bldg. 517))</t>
  </si>
  <si>
    <t>Property 517-0-B (1250 E. 26th Pl), Property 517-0-L (1250 E. 26th Pl), Property 517-0-R (1250 E. 26th Pl)</t>
  </si>
  <si>
    <t>11/30/2045</t>
  </si>
  <si>
    <t>2001-019</t>
  </si>
  <si>
    <t>Avis Rent A Car System, Inc. (Avis Rent A Car System, Inc.  (Bldg. 518))</t>
  </si>
  <si>
    <t>Property 518-0-L (1751 Airport Blvd), Property 518-0-B (1751 Airport Blvd)</t>
  </si>
  <si>
    <t>2001-020</t>
  </si>
  <si>
    <t>Hertz Corporation (Hertz Corporation (Bldg. 519))</t>
  </si>
  <si>
    <t>Property 519-0-L (3050 Carrier Blvd)</t>
  </si>
  <si>
    <t>10/1/2021</t>
  </si>
  <si>
    <t>2015-021</t>
  </si>
  <si>
    <t>Richardson, Lee. J. (Richardson, Lee J. (Bldg. 520))</t>
  </si>
  <si>
    <t>Property 520-0-B (3933 Moores Station Rd)</t>
  </si>
  <si>
    <t>10/31/2018</t>
  </si>
  <si>
    <t>2003-008</t>
  </si>
  <si>
    <t>S.E. Ramp Hangar Development, Inc. (Southeast Hangar (Bldg. 562))</t>
  </si>
  <si>
    <t>Property 522-2-L (2110-2120 Spinner Ln), Property 522-1-L (2110-2120 Spinner Ln), Property 522-0-L (2110-2120 Spinner Ln), Property 562-0-B (3950 Destination Way), Property 562-0-L (3950 Destination Way), Property 574-0-B (4110 - 4151 Centerline Lane), Property 575-0-B (1250 - 6371 Tarmac Lane), Property 522-0-B (1110 Spinner Lane)</t>
  </si>
  <si>
    <t>2/28/2035</t>
  </si>
  <si>
    <t>2014-027</t>
  </si>
  <si>
    <t>Meeks, Richard (Meeks, Richard (Bldg. 527))</t>
  </si>
  <si>
    <t>Property 527-0-B (3880 Moores Station Rd)</t>
  </si>
  <si>
    <t>2015-001</t>
  </si>
  <si>
    <t>Blinn, Justin (Blinn, Justin (Bldg. 529))</t>
  </si>
  <si>
    <t>Property 529-0-B (2990 Cameron Ave)</t>
  </si>
  <si>
    <t>1/14/2019</t>
  </si>
  <si>
    <t>2003-012</t>
  </si>
  <si>
    <t>Superchips (Superchips / Powerteq (Bldg. 532))</t>
  </si>
  <si>
    <t>Property 532-0-L (1790 E. Airport Blvd), Property 532-0-B (1790 E. Airport Blvd), Property 532-A-B (1790 E. Airport Blvd)</t>
  </si>
  <si>
    <t>2003-017</t>
  </si>
  <si>
    <t>Supervisor of Elections (Supervisor of Elections (Bldg. 533))</t>
  </si>
  <si>
    <t>Property 533-0-B (1500 E. Airport Blvd), Property 533-0-L (1500 E. Airport Blvd)</t>
  </si>
  <si>
    <t>2003-025</t>
  </si>
  <si>
    <t>Seminole County Sheriffs Office (Seminole Co. Sheriffs Office (Bldg. 534 JEC))</t>
  </si>
  <si>
    <t>Property 534-0-B (1151 E. 28th St (JEC))</t>
  </si>
  <si>
    <t>2003-026</t>
  </si>
  <si>
    <t>Seminole County Sheriffs Office (Seminole Co. Sheriffs Office (Bldg. 535))</t>
  </si>
  <si>
    <t>Property 535-0-B (501 Don Knight Ln (Special Ops)), Property 535-A-B (501 Don Knight Ln), Property 535-B-B (501 Don Knight Ln), Property 535-0-L (501 Don Knight Ln)</t>
  </si>
  <si>
    <t>2006-014</t>
  </si>
  <si>
    <t>Hardy Management  (84 LUMBER) (84 Lumber (Bldg. 537))</t>
  </si>
  <si>
    <t>Property 537-0-L (3050 S.Mellonville Ave), Property 537-A-B (3050 S. Mellonville), Property 537-B-B (3050 S. Mellonville Ave), Property 537-C-B (3050 S. Mellonville Ave), Property 537-D-B (3050 S. Mellonville Ave), Property 537-E-B (3050 S. Mellonville Ave)</t>
  </si>
  <si>
    <t>1/31/2037</t>
  </si>
  <si>
    <t>2004-026</t>
  </si>
  <si>
    <t>Vanguard Car Rental USA, Inc (Vanguard Car Rental  (Bldg 540-Land))</t>
  </si>
  <si>
    <t>Property 540-0-L (2500 East Airport Blvd), Property 540-0-B (2500 East Airport Blvd), Property 540-A-B (2500 East Airport Blvd), Property 540-B-B (2500 East Airport Blvd), Property 540-C-B (2500 East Airport Blvd)</t>
  </si>
  <si>
    <t>2/28/2025</t>
  </si>
  <si>
    <t>2005-028</t>
  </si>
  <si>
    <t>S.E. Ramp Fueling Cooperative, Inc. (S.E. Ramp Fueling Cooperative Inc. (Bldg. 542-Fuel))</t>
  </si>
  <si>
    <t>Property 542-0-L (Southeast Ramp)</t>
  </si>
  <si>
    <t>12/31/2020</t>
  </si>
  <si>
    <t>2006-029</t>
  </si>
  <si>
    <t>Aeronautical Restoration &amp; Maintenance Facility, LLC (ARMF, LLC) (Jeteezy, Inc. (Bldg. 543))</t>
  </si>
  <si>
    <t>Property 543-0-B (2651 S. Mellonville Ave)</t>
  </si>
  <si>
    <t>2007-002</t>
  </si>
  <si>
    <t>Aerosim Academy, Inc. (formerly Delta Connection Academy, Inc.) (Aerosim Flight Academy (Bldg. 545-Ground Lease))</t>
  </si>
  <si>
    <t>Property 545-0-L (2685 Flightline Ave)</t>
  </si>
  <si>
    <t>9/30/2037</t>
  </si>
  <si>
    <t>2009-014</t>
  </si>
  <si>
    <t>Avocet Capital, LLC (Avocet Capital, LLC (Bldg. 546))</t>
  </si>
  <si>
    <t>Property 546-A-L (Don Knight Ln), Property 546-B-L (Don Knight Ln)</t>
  </si>
  <si>
    <t>6/30/2019</t>
  </si>
  <si>
    <t>2009-054</t>
  </si>
  <si>
    <t>Avocet Capital, LLC (Avocet Capital, LLC (Bldg 547))</t>
  </si>
  <si>
    <t>Property 547-0-B (2551 Hellcat Lane), Property 547-0-R (2551 Hellcat Lane), Property 547-A-B (2551 Hellcat Lane)</t>
  </si>
  <si>
    <t>2/16/2032</t>
  </si>
  <si>
    <t>2009-017</t>
  </si>
  <si>
    <t>New Cingular Wireless PCS, LLC (New Cingular Wireless, PCS, LLC (Bldg. 548-B))</t>
  </si>
  <si>
    <t>Property 548-B-T (1206 East - 29th Street)</t>
  </si>
  <si>
    <t>5/8/2019</t>
  </si>
  <si>
    <t>2012-023</t>
  </si>
  <si>
    <t>Metro PCS Florida, LLC (Metro PCS Florida, LLC (Bldg. 548-C))</t>
  </si>
  <si>
    <t>Property 548-C-T (1206 East - 29th Street)</t>
  </si>
  <si>
    <t>7/31/2022</t>
  </si>
  <si>
    <t>2014-018</t>
  </si>
  <si>
    <t>Verizon Wireless (Verizon Wireless (Bldg.. 548-D))</t>
  </si>
  <si>
    <t>Property 548-D-T (1206 East - 29th Street)</t>
  </si>
  <si>
    <t>2009-047</t>
  </si>
  <si>
    <t>Avocet Capital, LLC (Avocet Captial, LLC (MOU-550))</t>
  </si>
  <si>
    <t>Property 550-0-M (550 Don Knight Ln)</t>
  </si>
  <si>
    <t>11/16/2018</t>
  </si>
  <si>
    <t>2005-999</t>
  </si>
  <si>
    <t>Orlando Sanford Domestic, Inc</t>
  </si>
  <si>
    <t>Property 551-0-B (5000 Red Cleveland Blvd), Property 551-1-F (5000 Red Cleveland Blvd), Property 551-A-B (5000 Red Cleveland Blvd), Property 551-B-B (5000 Red Cleveland Blvd)</t>
  </si>
  <si>
    <t>7/31/2037</t>
  </si>
  <si>
    <t>2015-007</t>
  </si>
  <si>
    <t>National Air Cargo Group (National Air Cargo Group (Bldg. 552))</t>
  </si>
  <si>
    <t>Property 552-0-B (600 Control Tower Lane)</t>
  </si>
  <si>
    <t>3/31/2018</t>
  </si>
  <si>
    <t>2011-001</t>
  </si>
  <si>
    <t>Avocet Capital, LLC (Avocet Capital, LLC (Bldg. 559))</t>
  </si>
  <si>
    <t>Property 559-0-B (543 Don Knight Ln)</t>
  </si>
  <si>
    <t>2/28/2031</t>
  </si>
  <si>
    <t>2011-028</t>
  </si>
  <si>
    <t>Seminole County Sheriffs Office (Seminole Co. Sheriffs Office (Bldg. 560-Land))</t>
  </si>
  <si>
    <t>Property 560-000-L (501 Don Knight Ln)</t>
  </si>
  <si>
    <t>2012-016</t>
  </si>
  <si>
    <t>Simply Wheelz (Simply Wheelz, LLC dba Advantage Rent a Car (Bldg. 565))</t>
  </si>
  <si>
    <t>Property 565-0-B (Airline Ave)</t>
  </si>
  <si>
    <t>5/31/2032</t>
  </si>
  <si>
    <t>2016-030</t>
  </si>
  <si>
    <t>American Environmental Aviation, Inc</t>
  </si>
  <si>
    <t>Property 566-0-B (3977 Aviation Loop), Property 566-0-L (3977 Aviation Loop)</t>
  </si>
  <si>
    <t>2016-001</t>
  </si>
  <si>
    <t>American Environmental Aviation, Inc (American Environmental Aviation, Inc. (Bldg. 567 ))</t>
  </si>
  <si>
    <t>Property 567-0-B (3978 Aviation Loop), Property 567-0-L (3978 Aviation Loop)</t>
  </si>
  <si>
    <t>2016-007</t>
  </si>
  <si>
    <t>MAHONEY SUPPLY LLC</t>
  </si>
  <si>
    <t>Property 568-0-B (3985 Aviation Loop)</t>
  </si>
  <si>
    <t>2014-026</t>
  </si>
  <si>
    <t>Dignoti Group, Inc (Dignoti Group, Inc. (Bldg. 569))</t>
  </si>
  <si>
    <t>Property 569-0-B (3986 Aviation Loop), Property 569-0-L (3986 Aviation Loop)</t>
  </si>
  <si>
    <t>2013-022</t>
  </si>
  <si>
    <t>Avocet Capital, LLC (Avocet Capital, LLC (Bldg. 571))</t>
  </si>
  <si>
    <t>Property 571-0-L (Don Knight Ln)</t>
  </si>
  <si>
    <t>9/15/2023</t>
  </si>
  <si>
    <t>2016-005</t>
  </si>
  <si>
    <t>Hill Dermaceuticals, Inc. (d/b/a Hill Labs)</t>
  </si>
  <si>
    <t>Property 576-0-L (3065 Mellonville Ave.)</t>
  </si>
  <si>
    <t>1/1/2037</t>
  </si>
  <si>
    <t>2016-034</t>
  </si>
  <si>
    <t>GLF Construction Corporation (GLF CONSTRUCTION)</t>
  </si>
  <si>
    <t>Property 650-0-L (29th and Carrier)</t>
  </si>
  <si>
    <t>3001-001</t>
  </si>
  <si>
    <t>Test Tenant</t>
  </si>
  <si>
    <t>Property 999-999-Q</t>
  </si>
  <si>
    <t>1/1/2007</t>
  </si>
  <si>
    <t>2013-900</t>
  </si>
  <si>
    <t>Freeman Holdings of Orlando, LLC</t>
  </si>
  <si>
    <t>3000-053</t>
  </si>
  <si>
    <t>SAA - Operations (Airfield R/W 18/36)</t>
  </si>
  <si>
    <t>Property 2011-020-L (Kentucky off Sipes)</t>
  </si>
  <si>
    <t>TOTALS PER YEAR</t>
  </si>
  <si>
    <t>FY 2018 Operating Lease Income (Estimated)</t>
  </si>
  <si>
    <t>FY 2018 Rentals</t>
  </si>
  <si>
    <t>Newsom Hardwoods, Inc. (Newsom Hardwoods, Inc. (Bldg 255 W/C))</t>
  </si>
  <si>
    <t>Property 255-W-B (1723 Hangar Rd)</t>
  </si>
  <si>
    <t>2008-004</t>
  </si>
  <si>
    <t>Hazard Services International, Inc. (Hazard Services International,Inc. (Bldg 60-Bunker))</t>
  </si>
  <si>
    <t>2001-005</t>
  </si>
  <si>
    <t>Property 060-0-L (Bunker/Airfield)</t>
  </si>
  <si>
    <t>Nelson, Leo (Leo Nelson dba Nelson Aerial (T-68))</t>
  </si>
  <si>
    <t>Property 428-68-E (2004 E Airport Blvd)</t>
  </si>
  <si>
    <t>2004-008</t>
  </si>
  <si>
    <t>Gleaves, James D. (T-6)</t>
  </si>
  <si>
    <t>Property 403-6-E (1802 E Airport Blvd)</t>
  </si>
  <si>
    <t>2002-033</t>
  </si>
  <si>
    <t>Isherwood, Richard (Isherwood, Richard (T-20))</t>
  </si>
  <si>
    <t>Property 405-20-E (1806 E Airport Blvd)</t>
  </si>
  <si>
    <t>2006-006</t>
  </si>
  <si>
    <t>Centurion Aviation, Inc.(Williams, David) (Centurion Aviation T-24)</t>
  </si>
  <si>
    <t>Property 405-24-E (1806 E Airport Blvd)</t>
  </si>
  <si>
    <t>2006-008</t>
  </si>
  <si>
    <t>Owens, Marvin R. (Owens T-26)</t>
  </si>
  <si>
    <t>Property 406-26-E (1804 E Airport Blvd)</t>
  </si>
  <si>
    <t>2002-104</t>
  </si>
  <si>
    <t>Creel, Claude W. (Creel Bldg T-29)</t>
  </si>
  <si>
    <t>Property 406-29-E (1804 E Airport Blvd)</t>
  </si>
  <si>
    <t>2002-030</t>
  </si>
  <si>
    <t>Adams, John G. (Adams T-38)</t>
  </si>
  <si>
    <t>Property 411-38-E (1808 E Airport Blvd)</t>
  </si>
  <si>
    <t>2002-111</t>
  </si>
  <si>
    <t>Malone, Michael (Malone Bldg T-39)</t>
  </si>
  <si>
    <t>Property 411-39-E (1808 E Airport Blvd)</t>
  </si>
  <si>
    <t>2002-041</t>
  </si>
  <si>
    <t>Straub, Lawrence L. (Straub T-40)</t>
  </si>
  <si>
    <t>Property 411-40-E (1808 E Airport Blvd)</t>
  </si>
  <si>
    <t>2002-057</t>
  </si>
  <si>
    <t>Beech, John (Beech T-45)</t>
  </si>
  <si>
    <t>Property 411-45-E (1808 E Airport Blvd)</t>
  </si>
  <si>
    <t>2008-033</t>
  </si>
  <si>
    <t>Barker, Silas (Barker, Silas (T-Hangar No. 21))</t>
  </si>
  <si>
    <t>Property 405-21-E (1806 E Airport Blvd)</t>
  </si>
  <si>
    <t>2002-056</t>
  </si>
  <si>
    <t>Thigpen, David A. (Thigpen T-61)</t>
  </si>
  <si>
    <t>Property 427-61-E (2000 E Airport Blvd)</t>
  </si>
  <si>
    <t>2006-001</t>
  </si>
  <si>
    <t>Albers, Edward J. (Albers T-62)</t>
  </si>
  <si>
    <t>Property 427-62-E (2000 E Airport Blvd)</t>
  </si>
  <si>
    <t>2000-082</t>
  </si>
  <si>
    <t>Vertical Aviaton - Clark (Vertical Aviation T-63)</t>
  </si>
  <si>
    <t>Property 428-63-E (2004 E Airport Blvd)</t>
  </si>
  <si>
    <t>2002-124</t>
  </si>
  <si>
    <t>Sickinger, Dr. Barton G. (Sickinger T-64)</t>
  </si>
  <si>
    <t>Property 428-64-E (2004 E Airport Blvd)</t>
  </si>
  <si>
    <t>2002-005</t>
  </si>
  <si>
    <t>Air Papa Bravo Corporation ( Dr. Jose Berrero) (Air Papa Bravo T-78)</t>
  </si>
  <si>
    <t>Property 430-78-E (2008 E Airport Blvd)</t>
  </si>
  <si>
    <t>2008-005</t>
  </si>
  <si>
    <t>McConnell, Vicki (McConnell T-91)</t>
  </si>
  <si>
    <t>Property 431-91-E (2006 E Airport Blvd)</t>
  </si>
  <si>
    <t>2008-008</t>
  </si>
  <si>
    <t>Krauser, Kent F. (Krauser T-93)</t>
  </si>
  <si>
    <t>Property 442-93-E (2012 E Airport Blvd)</t>
  </si>
  <si>
    <t>2002-040</t>
  </si>
  <si>
    <t>FAA ATC Tower (FAA ATC Tower Bldg 415-0)</t>
  </si>
  <si>
    <t>Property 451-0-T (747 Control Tower Ln)</t>
  </si>
  <si>
    <t>3000-100</t>
  </si>
  <si>
    <t>U.S. Customs (US Customs Bldg 502-7)</t>
  </si>
  <si>
    <t>3000-300</t>
  </si>
  <si>
    <t>Property 296-FIS-B (1100 Red Cleveland Blvd)</t>
  </si>
  <si>
    <t>Jones, Randy (Jones, Randy (T-7))</t>
  </si>
  <si>
    <t>Property 403-7-E (1802 E Airport Blvd)</t>
  </si>
  <si>
    <t>2009-021</t>
  </si>
  <si>
    <t>Griffin, John (Griffin T-88)</t>
  </si>
  <si>
    <t>Property 431-88-E (2006 E Airport Blvd)</t>
  </si>
  <si>
    <t>2009-002</t>
  </si>
  <si>
    <t>Reynolds, Jack (Reynolds Bldg 441S)</t>
  </si>
  <si>
    <t>Property 441-S-B (2010 E Airport Blvd)</t>
  </si>
  <si>
    <t>2005-011</t>
  </si>
  <si>
    <t>Thigpen, David A. (Thigpen, David (T-1))</t>
  </si>
  <si>
    <t>Property 403-1-E (1802 E Airport Blvd)</t>
  </si>
  <si>
    <t>2009-034</t>
  </si>
  <si>
    <t>Liberatore, Frank (Liberatore Bldg 404-9)</t>
  </si>
  <si>
    <t>Property 404-9-E (1800 E Airport Blvd)</t>
  </si>
  <si>
    <t>2009-025</t>
  </si>
  <si>
    <t>Loader, Michael</t>
  </si>
  <si>
    <t>2003-907</t>
  </si>
  <si>
    <t>Property 404-F-E (1800 E Airport Blvd)</t>
  </si>
  <si>
    <t>FIXIT, LLC (FIXIT Bldg 403-3)</t>
  </si>
  <si>
    <t>Property 403-3-E (1802 E Airport Blvd)</t>
  </si>
  <si>
    <t>2009-027</t>
  </si>
  <si>
    <t>Sexton, Jeffrey S. (Sexton T-15 Storage)</t>
  </si>
  <si>
    <t>Property 404-15-E (1800 E Airport Blvd)</t>
  </si>
  <si>
    <t>2009-040</t>
  </si>
  <si>
    <t>McGlashon, Richard S. (McGlashon T-84)</t>
  </si>
  <si>
    <t>Property 430-84-E (2008 E Airport Blvd)</t>
  </si>
  <si>
    <t>2002-037</t>
  </si>
  <si>
    <t>Crews, Robert (Crews T-5)</t>
  </si>
  <si>
    <t>Property 403-5-E (1802 E Airport Blvd)</t>
  </si>
  <si>
    <t>2009-041</t>
  </si>
  <si>
    <t>Property 404-13-E (1800 E Airport Blvd)</t>
  </si>
  <si>
    <t>2009-053</t>
  </si>
  <si>
    <t>Farmer, Gary E.</t>
  </si>
  <si>
    <t>Property 430-85-E (2008 E Airport Blvd)</t>
  </si>
  <si>
    <t>2009-058</t>
  </si>
  <si>
    <t>Johnson, Donald M.</t>
  </si>
  <si>
    <t>Property 427-59-E (2000 E Airport Blvd)</t>
  </si>
  <si>
    <t>2009-062</t>
  </si>
  <si>
    <t>SAA-Police</t>
  </si>
  <si>
    <t>3000-070</t>
  </si>
  <si>
    <t>Property 059-0-B (650 Don Knight Lane)</t>
  </si>
  <si>
    <t>Moore, Donald L.</t>
  </si>
  <si>
    <t>Property 428-69-E (2004 E Airport Blvd)</t>
  </si>
  <si>
    <t>2010-026</t>
  </si>
  <si>
    <t>Gator Aircraft Industries, Inc.</t>
  </si>
  <si>
    <t>Property 942-2-E</t>
  </si>
  <si>
    <t>2010-029</t>
  </si>
  <si>
    <t>Rehder, Rick</t>
  </si>
  <si>
    <t>2010-033</t>
  </si>
  <si>
    <t>Property 406-L-E (1804 E Airport Blvd)</t>
  </si>
  <si>
    <t>SAA - Operations</t>
  </si>
  <si>
    <t>Property 548-A-T (1206 East - 29th Street)</t>
  </si>
  <si>
    <t>3001-050</t>
  </si>
  <si>
    <t>High, Dr. Edward O.</t>
  </si>
  <si>
    <t>Property 427-58-E (2000 E Airport Blvd)</t>
  </si>
  <si>
    <t>2010-035</t>
  </si>
  <si>
    <t>Bame, James</t>
  </si>
  <si>
    <t>Property 404-16-E (1800 E Airport Blvd)</t>
  </si>
  <si>
    <t>2010-042</t>
  </si>
  <si>
    <t>Sanford, City of</t>
  </si>
  <si>
    <t>Property 9999-0-B</t>
  </si>
  <si>
    <t>1999-009</t>
  </si>
  <si>
    <t>Devaughn, David</t>
  </si>
  <si>
    <t>Property 404-17-E (1800 E Airport Blvd)</t>
  </si>
  <si>
    <t>2011-004</t>
  </si>
  <si>
    <t>Hardoon, Richard</t>
  </si>
  <si>
    <t>Property 441-105-E (2010 E Airport Blvd)</t>
  </si>
  <si>
    <t>2011-011</t>
  </si>
  <si>
    <t>Air Papa Bravo Corporation ( Dr. Jose Berrero)</t>
  </si>
  <si>
    <t>Property 430-80-E (2008 E Airport Blvd)</t>
  </si>
  <si>
    <t>2011-013</t>
  </si>
  <si>
    <t>SAA - Administration (Lake Golden Rentals)</t>
  </si>
  <si>
    <t>3000-020</t>
  </si>
  <si>
    <t>Property 296-VIG-B</t>
  </si>
  <si>
    <t>SAA - Operations (Part 150 Lease Noise Land)</t>
  </si>
  <si>
    <t>3000-050</t>
  </si>
  <si>
    <t>Property 2000-001-L (2741 S Beardall Ave)</t>
  </si>
  <si>
    <t>Property 2000-002-L (2741 S Beardall Ave)</t>
  </si>
  <si>
    <t>SAA - Operations (SAA - Airfield)</t>
  </si>
  <si>
    <t>3000-051</t>
  </si>
  <si>
    <t>Property 2011-017-L (Sanford FL)</t>
  </si>
  <si>
    <t>SAA - Operations (Airfield R/W 9L/27R)</t>
  </si>
  <si>
    <t>3000-052</t>
  </si>
  <si>
    <t>Property 2012-004-L (2920 Cameron Ave)</t>
  </si>
  <si>
    <t>SAA - Operations (Airfield R/W 9R/27L)</t>
  </si>
  <si>
    <t>3000-054</t>
  </si>
  <si>
    <t>Property 2000-007-L</t>
  </si>
  <si>
    <t>Barnard, Darren</t>
  </si>
  <si>
    <t>Property 404-11-E (1800 E Airport Blvd)</t>
  </si>
  <si>
    <t>2011-039</t>
  </si>
  <si>
    <t>McKay, Wiliam</t>
  </si>
  <si>
    <t>Property 429-75-E (2002 E Airport Blvd)</t>
  </si>
  <si>
    <t>2012-014</t>
  </si>
  <si>
    <t>Hayes,  Kay (Hayes, Kay (Land 6 acres))</t>
  </si>
  <si>
    <t>2012-017</t>
  </si>
  <si>
    <t>Odom, Joe</t>
  </si>
  <si>
    <t>Property 431-90-E (2006 E Airport Blvd)</t>
  </si>
  <si>
    <t>2012-026</t>
  </si>
  <si>
    <t>Cranias, Chris</t>
  </si>
  <si>
    <t>Property 404-12-E (1800 E Airport Blvd)</t>
  </si>
  <si>
    <t>2012-038</t>
  </si>
  <si>
    <t>Aerosim Academy, Inc. (USER AGREEMENT only)</t>
  </si>
  <si>
    <t>2012-998</t>
  </si>
  <si>
    <t>Property 113-0-B (2729 Flightline Ave)</t>
  </si>
  <si>
    <t>Sparks, Robert (Hardly Able Aviation)</t>
  </si>
  <si>
    <t>Property 429-72-E (2002 E Airport Blvd)</t>
  </si>
  <si>
    <t>2013-002</t>
  </si>
  <si>
    <t>Copes, Edward</t>
  </si>
  <si>
    <t>Property 427-57-E (2000 E Airport Blvd)</t>
  </si>
  <si>
    <t>2013-006</t>
  </si>
  <si>
    <t>Property 431-89-E (2006 E Airport Blvd)</t>
  </si>
  <si>
    <t>2013-009</t>
  </si>
  <si>
    <t>Majewski, John</t>
  </si>
  <si>
    <t>Property 411-35-E (1808 E Airport Blvd)</t>
  </si>
  <si>
    <t>2013-010</t>
  </si>
  <si>
    <t>Oro, Manuel (T-71)</t>
  </si>
  <si>
    <t>Property 429-71-E (2002 E Airport Blvd)</t>
  </si>
  <si>
    <t>2013-013</t>
  </si>
  <si>
    <t>Gonzalez, Jesse (Gonzalez, Jesse (T-106))</t>
  </si>
  <si>
    <t>Property 441-106-E (2010 E Airport Blvd)</t>
  </si>
  <si>
    <t>2013-016</t>
  </si>
  <si>
    <t>Creamean, George</t>
  </si>
  <si>
    <t>Property 429-76-E (2002 E Airport Blvd)</t>
  </si>
  <si>
    <t>2013-017</t>
  </si>
  <si>
    <t>SAA- Dispatch</t>
  </si>
  <si>
    <t>Property 296-3173-B</t>
  </si>
  <si>
    <t>3000-071</t>
  </si>
  <si>
    <t>McEnaney, John</t>
  </si>
  <si>
    <t>Property 403-8-E (1802 E Airport Blvd)</t>
  </si>
  <si>
    <t>2013-019</t>
  </si>
  <si>
    <t>Seminole County Public Schools</t>
  </si>
  <si>
    <t>Property 441-107-E (2010 E Airport Blvd)</t>
  </si>
  <si>
    <t>2013-035</t>
  </si>
  <si>
    <t>Ramirez, Alex</t>
  </si>
  <si>
    <t>Property 404-14-E (1800 E Airport Blvd)</t>
  </si>
  <si>
    <t>2013-037</t>
  </si>
  <si>
    <t>2000-999</t>
  </si>
  <si>
    <t>Property 296-E-P (1915 Airline Ave)</t>
  </si>
  <si>
    <t>McLain, Daryl</t>
  </si>
  <si>
    <t>Property 404-10-E (1800 E Airport Blvd)</t>
  </si>
  <si>
    <t>2014-004</t>
  </si>
  <si>
    <t>Davant, John (John Davant (T-70))</t>
  </si>
  <si>
    <t>Property 428-70-E (2004 E Airport Blvd)</t>
  </si>
  <si>
    <t>2014-005</t>
  </si>
  <si>
    <t>Miller, Steve</t>
  </si>
  <si>
    <t>Property 428-67-E (2004 E Airport Blvd)</t>
  </si>
  <si>
    <t>2014-008</t>
  </si>
  <si>
    <t>Lietzke, Rachael (Lietze, Rachel (T-102))</t>
  </si>
  <si>
    <t>Property 442-102-E (2012 E Airport Blvd)</t>
  </si>
  <si>
    <t>2014-014</t>
  </si>
  <si>
    <t>Krips, Jack (Jack Krips (T-92))</t>
  </si>
  <si>
    <t>Property 442-92-E (2012 E Airport Blvd)</t>
  </si>
  <si>
    <t>2014-019</t>
  </si>
  <si>
    <t>Imtiaz Nazir Ahmed (Imtiaz Ahmed (T-19))</t>
  </si>
  <si>
    <t>Property 405-19-E (1806 E Airport Blvd)</t>
  </si>
  <si>
    <t>2014-020</t>
  </si>
  <si>
    <t>Tague, Larry (Tague, Larry (T-Hangar No. 86))</t>
  </si>
  <si>
    <t>Property 430-86-E (2008 E Airport Blvd)</t>
  </si>
  <si>
    <t>2014-031</t>
  </si>
  <si>
    <t>Agbelusi, Bernard (Agbelusi, Bernard (T2))</t>
  </si>
  <si>
    <t>Property 403-2-E (1802 E Airport Blvd)</t>
  </si>
  <si>
    <t>2015-008</t>
  </si>
  <si>
    <t>Estevez, Damian (Estevez, Damian (T-74))</t>
  </si>
  <si>
    <t>Property 429-74-E (2002 E Airport Blvd)</t>
  </si>
  <si>
    <t>2015-010</t>
  </si>
  <si>
    <t>Pope, Lewis (Pope, Lewis (Storage Unit No. 31))</t>
  </si>
  <si>
    <t>Property 406-31-E (1804 E Airport Blvd)</t>
  </si>
  <si>
    <t>2015-016</t>
  </si>
  <si>
    <t>Baldwin, John A. (Baldwin, John)</t>
  </si>
  <si>
    <t>Property 411-33-E (1808 E Airport Blvd)</t>
  </si>
  <si>
    <t>2016-004</t>
  </si>
  <si>
    <t>Hand, David C.</t>
  </si>
  <si>
    <t>Property 412-54-E (1810 E Airport Blvd)</t>
  </si>
  <si>
    <t>2016-006</t>
  </si>
  <si>
    <t>HONERBRINK, DANIEL (T-101)</t>
  </si>
  <si>
    <t>Property 442-101-E (2012 E Airport Blvd)</t>
  </si>
  <si>
    <t>2016-012</t>
  </si>
  <si>
    <t>BUECHELE, DAVID (DAVID BUECHELE T-94)</t>
  </si>
  <si>
    <t>Property 442-94-E (2012 E Airport Blvd)</t>
  </si>
  <si>
    <t>2016-018</t>
  </si>
  <si>
    <t>TURNER, DOUG</t>
  </si>
  <si>
    <t>Property 430-77-E (2008 E Airport Blvd)</t>
  </si>
  <si>
    <t>2016-021</t>
  </si>
  <si>
    <t>THOMSON AIRWAYS LIMITED</t>
  </si>
  <si>
    <t>Property 431-87-E (2006 E Airport Blvd)</t>
  </si>
  <si>
    <t>2016-026</t>
  </si>
  <si>
    <t>PERTUZ, FREDDY</t>
  </si>
  <si>
    <t>Property 412-46-E (1810 E Airport Blvd)</t>
  </si>
  <si>
    <t>2016-027</t>
  </si>
  <si>
    <t>ZIELKE, MIKE</t>
  </si>
  <si>
    <t>Property 430-79-E (2008 E Airport Blvd)</t>
  </si>
  <si>
    <t>2016-028</t>
  </si>
  <si>
    <t>Simpkins, Caryn</t>
  </si>
  <si>
    <t>2016-029</t>
  </si>
  <si>
    <t>OWENS, ROBERT</t>
  </si>
  <si>
    <t>Property 441-104-E (2010 East Airport Blvd)</t>
  </si>
  <si>
    <t>2016-032</t>
  </si>
  <si>
    <t>Reiser, Mark (T-100)</t>
  </si>
  <si>
    <t>Property 442-100-E (2012 E Airport Blvd)</t>
  </si>
  <si>
    <t>2016-035</t>
  </si>
  <si>
    <t>TIMBERLAKE, ANNA</t>
  </si>
  <si>
    <t>Property 442-96-E (2012 E Airport Blvd)</t>
  </si>
  <si>
    <t>2017-001</t>
  </si>
  <si>
    <t>Lietzke, Rachael</t>
  </si>
  <si>
    <t>Property 428-66-E (2004 E Airport Blvd)</t>
  </si>
  <si>
    <t>2017-004</t>
  </si>
  <si>
    <t>Dignoti Group, Inc</t>
  </si>
  <si>
    <t>Property 569-0-L (3986 Aviation Loop)</t>
  </si>
  <si>
    <t>2017-009</t>
  </si>
  <si>
    <t>RASQUINHA WARREN</t>
  </si>
  <si>
    <t>Property 412-50-E (1810 E Airport Blvd)</t>
  </si>
  <si>
    <t>2017-011</t>
  </si>
  <si>
    <t>HALL, CHARLES (HALL, CHARLES)</t>
  </si>
  <si>
    <t>Property 412-48-E (1810 E Airport Blvd)</t>
  </si>
  <si>
    <t>2017-013</t>
  </si>
  <si>
    <t>Allegiant Air, LLC</t>
  </si>
  <si>
    <t>Property 009-0-B (2955 Mellonville Ave)</t>
  </si>
  <si>
    <t>2017-014</t>
  </si>
  <si>
    <t>DAlessio, Joseph M.</t>
  </si>
  <si>
    <t>Property 430-81-E (2008 E Airport Blvd)</t>
  </si>
  <si>
    <t>2017-016</t>
  </si>
  <si>
    <t>PET PARTNERS, LLC (PET PARTNERS)</t>
  </si>
  <si>
    <t>Property 440-0-B (1701 E. Airport Blvd)</t>
  </si>
  <si>
    <t>2017-005</t>
  </si>
  <si>
    <t>ORLANDO SANFORD FLYING CLUB</t>
  </si>
  <si>
    <t>Property 943-3-E</t>
  </si>
  <si>
    <t>2017-017</t>
  </si>
  <si>
    <t>SIMULATOR VENTURES, LLC (SIMULATOR VENTURES T-109)</t>
  </si>
  <si>
    <t>Property 441-109-E (2010 E Airport Blvd)</t>
  </si>
  <si>
    <t>2017-018</t>
  </si>
  <si>
    <t>Vertical Aviation Technologies, Inc.</t>
  </si>
  <si>
    <t>2017-015</t>
  </si>
  <si>
    <t>Property 421-0-B (1920 E Airport Blvd)</t>
  </si>
  <si>
    <t>RIVERA, MICHAEL AND BARBARA JO</t>
  </si>
  <si>
    <t>Property 302-0-B (2836 Aileron Circle)</t>
  </si>
  <si>
    <t>2017-020</t>
  </si>
  <si>
    <t>PHURROUGH, MIKILANA (MIKILANA PHURROUGH)</t>
  </si>
  <si>
    <t>Property 300-N-B (3104 Rudder Circle)</t>
  </si>
  <si>
    <t>2017-025</t>
  </si>
  <si>
    <t>GOUSSE, RALPH (RALPH GOUSSE)</t>
  </si>
  <si>
    <t>Property 430-83-E (2008 E Airport Blvd)</t>
  </si>
  <si>
    <t>2017-026</t>
  </si>
  <si>
    <t>CONSTANT AVIATION, LLC (CONSTANT AVIATION)</t>
  </si>
  <si>
    <t>Property 333-0-B (1604 Hangar Rd)</t>
  </si>
  <si>
    <t>2017-022</t>
  </si>
  <si>
    <t>VIA AIR, INC (VIA AIR)</t>
  </si>
  <si>
    <t>Property 147-0-B (1722 Hangar Rd)</t>
  </si>
  <si>
    <t>2017-033</t>
  </si>
  <si>
    <t>Davis, Charles (CHARLES DAVIS)</t>
  </si>
  <si>
    <t>Property 412-47-E (1810 E Airport Blvd)</t>
  </si>
  <si>
    <t>2017-034</t>
  </si>
  <si>
    <t>NINGUI, VICTOR (NINGUI, VICTOR)</t>
  </si>
  <si>
    <t>Property 944-4-E</t>
  </si>
  <si>
    <t>2017-035</t>
  </si>
  <si>
    <t>EBY, THOMAS (THOMAS EBY)</t>
  </si>
  <si>
    <t>Property 412-49-E (1810 E Airport Blvd)</t>
  </si>
  <si>
    <t>2017-036</t>
  </si>
  <si>
    <t>Airline Training &amp; Leasing Corp</t>
  </si>
  <si>
    <t>Property 149-0-B (1673 Hangar Rd)</t>
  </si>
  <si>
    <t>2017-038</t>
  </si>
  <si>
    <t>Petrone, Alfred F.</t>
  </si>
  <si>
    <t>Property 442-95-E (2012 E Airport Blvd)</t>
  </si>
  <si>
    <t>2017-040</t>
  </si>
  <si>
    <t>DEJESUS, BENJAMIN</t>
  </si>
  <si>
    <t>Property 442-98-E (2012 E Airport Blvd)</t>
  </si>
  <si>
    <t>2017-039</t>
  </si>
  <si>
    <t>Enterprise Rent-A-Car Company</t>
  </si>
  <si>
    <t>2017-045</t>
  </si>
  <si>
    <t>GLF Construction Corporation</t>
  </si>
  <si>
    <t>Property 000-1A-F</t>
  </si>
  <si>
    <t>2017-052</t>
  </si>
  <si>
    <t>Allegiant Air, LLC (Allegiant Air)</t>
  </si>
  <si>
    <t>Property 517-0-B (1250 E. 26th Pl)</t>
  </si>
  <si>
    <t>2018-001</t>
  </si>
  <si>
    <t>DAVIS, JASON</t>
  </si>
  <si>
    <t>Property 515-5-B (2824 S. Mellonville Ave)</t>
  </si>
  <si>
    <t>2018-002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</si>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</sst>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name val="Times New Roman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0" xfId="2" applyFont="1"/>
    <xf numFmtId="14" fontId="3" fillId="0" borderId="0" xfId="0" applyNumberFormat="1" applyFont="1"/>
    <xf numFmtId="164" fontId="3" fillId="0" borderId="0" xfId="1" applyNumberFormat="1" applyFont="1"/>
    <xf numFmtId="0" fontId="3" fillId="0" borderId="0" xfId="0" applyFont="1" applyAlignment="1"/>
    <xf numFmtId="164" fontId="3" fillId="0" borderId="0" xfId="1" applyNumberFormat="1" applyFont="1" applyAlignment="1"/>
    <xf numFmtId="0" fontId="3" fillId="0" borderId="1" xfId="0" applyFont="1" applyBorder="1" applyAlignment="1">
      <alignment horizontal="centerContinuous"/>
    </xf>
    <xf numFmtId="164" fontId="3" fillId="0" borderId="0" xfId="1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44" fontId="3" fillId="0" borderId="0" xfId="2" applyFont="1" applyAlignment="1">
      <alignment horizontal="centerContinuous"/>
    </xf>
    <xf numFmtId="14" fontId="3" fillId="0" borderId="0" xfId="0" applyNumberFormat="1" applyFont="1" applyAlignment="1"/>
    <xf numFmtId="0" fontId="4" fillId="0" borderId="0" xfId="0" applyFont="1" applyAlignment="1">
      <alignment horizontal="centerContinuous"/>
    </xf>
    <xf numFmtId="0" fontId="4" fillId="0" borderId="0" xfId="0" applyFont="1"/>
    <xf numFmtId="44" fontId="4" fillId="0" borderId="0" xfId="2" applyFont="1" applyAlignment="1">
      <alignment horizontal="centerContinuous"/>
    </xf>
    <xf numFmtId="14" fontId="4" fillId="0" borderId="0" xfId="0" applyNumberFormat="1" applyFont="1" applyAlignment="1"/>
    <xf numFmtId="164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41" fontId="3" fillId="0" borderId="0" xfId="0" applyNumberFormat="1" applyFont="1"/>
    <xf numFmtId="41" fontId="3" fillId="0" borderId="0" xfId="0" applyNumberFormat="1" applyFont="1" applyAlignment="1">
      <alignment horizontal="centerContinuous"/>
    </xf>
    <xf numFmtId="41" fontId="4" fillId="0" borderId="0" xfId="0" applyNumberFormat="1" applyFont="1" applyAlignment="1">
      <alignment horizontal="centerContinuous"/>
    </xf>
    <xf numFmtId="14" fontId="6" fillId="0" borderId="0" xfId="0" applyNumberFormat="1" applyFont="1"/>
    <xf numFmtId="164" fontId="3" fillId="0" borderId="1" xfId="1" applyNumberFormat="1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4" fontId="7" fillId="0" borderId="0" xfId="2" applyFont="1" applyAlignment="1">
      <alignment horizontal="left"/>
    </xf>
    <xf numFmtId="44" fontId="7" fillId="0" borderId="0" xfId="2" applyFont="1"/>
    <xf numFmtId="0" fontId="7" fillId="0" borderId="0" xfId="0" applyFont="1"/>
    <xf numFmtId="44" fontId="4" fillId="0" borderId="0" xfId="2" applyFont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1"/>
  <sheetViews>
    <sheetView tabSelected="1" zoomScale="90" zoomScaleNormal="90" workbookViewId="0">
      <pane xSplit="3" topLeftCell="D1" activePane="topRight" state="frozen"/>
      <selection pane="topRight" activeCell="D1" sqref="D1"/>
    </sheetView>
  </sheetViews>
  <sheetFormatPr defaultRowHeight="12.75" x14ac:dyDescent="0.2"/>
  <cols>
    <col min="1" max="1" width="13.7109375" style="10" customWidth="1"/>
    <col min="2" max="2" width="36" style="2" customWidth="1"/>
    <col min="3" max="3" width="15" style="2" customWidth="1"/>
    <col min="4" max="4" width="11.42578125" style="3" customWidth="1"/>
    <col min="5" max="5" width="10.7109375" style="4" customWidth="1"/>
    <col min="6" max="6" width="1.140625" style="2" customWidth="1"/>
    <col min="7" max="7" width="9.5703125" style="2" customWidth="1"/>
    <col min="8" max="8" width="11.42578125" style="2" customWidth="1"/>
    <col min="9" max="9" width="0.85546875" style="2" customWidth="1"/>
    <col min="10" max="10" width="11" style="2" customWidth="1"/>
    <col min="11" max="11" width="11.28515625" style="2" customWidth="1"/>
    <col min="12" max="12" width="1" style="2" customWidth="1"/>
    <col min="13" max="13" width="11" style="5" customWidth="1"/>
    <col min="14" max="14" width="12.7109375" style="2" customWidth="1"/>
    <col min="15" max="15" width="1" style="2" customWidth="1"/>
    <col min="16" max="17" width="10.85546875" style="2" customWidth="1"/>
    <col min="18" max="18" width="1" style="2" customWidth="1"/>
    <col min="19" max="19" width="8.42578125" style="2" customWidth="1"/>
    <col min="20" max="20" width="11.7109375" style="2" customWidth="1"/>
    <col min="21" max="21" width="1" style="2" customWidth="1"/>
    <col min="22" max="22" width="8.42578125" style="2" customWidth="1"/>
    <col min="23" max="23" width="11.7109375" style="2" customWidth="1"/>
    <col min="24" max="24" width="1" style="2" customWidth="1"/>
    <col min="25" max="25" width="8.42578125" style="2" customWidth="1"/>
    <col min="26" max="26" width="11.7109375" style="21" customWidth="1"/>
    <col min="27" max="27" width="1" style="2" customWidth="1"/>
    <col min="28" max="28" width="8.42578125" style="2" customWidth="1"/>
    <col min="29" max="29" width="11.7109375" style="21" customWidth="1"/>
    <col min="30" max="30" width="1" style="2" customWidth="1"/>
    <col min="31" max="31" width="8.42578125" style="2" customWidth="1"/>
    <col min="32" max="32" width="11.7109375" style="21" customWidth="1"/>
    <col min="33" max="33" width="1" style="2" customWidth="1"/>
    <col min="34" max="34" width="8.42578125" style="2" customWidth="1"/>
    <col min="35" max="35" width="11.7109375" style="21" customWidth="1"/>
    <col min="36" max="36" width="1" style="2" customWidth="1"/>
    <col min="37" max="16384" width="9.140625" style="2"/>
  </cols>
  <sheetData>
    <row r="1" spans="1:36" ht="13.5" x14ac:dyDescent="0.25">
      <c r="B1" s="1" t="s">
        <v>0</v>
      </c>
    </row>
    <row r="2" spans="1:36" ht="13.5" x14ac:dyDescent="0.25">
      <c r="B2" s="1" t="s">
        <v>16</v>
      </c>
      <c r="E2" s="24"/>
    </row>
    <row r="3" spans="1:36" x14ac:dyDescent="0.2">
      <c r="J3" s="6"/>
      <c r="K3" s="6"/>
      <c r="L3" s="6"/>
      <c r="M3" s="7"/>
      <c r="N3" s="6"/>
    </row>
    <row r="4" spans="1:36" x14ac:dyDescent="0.2">
      <c r="G4" s="8" t="s">
        <v>17</v>
      </c>
      <c r="H4" s="8"/>
      <c r="J4" s="8" t="s">
        <v>18</v>
      </c>
      <c r="K4" s="8"/>
      <c r="L4" s="6"/>
      <c r="M4" s="25" t="s">
        <v>19</v>
      </c>
      <c r="N4" s="8"/>
      <c r="P4" s="33" t="s">
        <v>20</v>
      </c>
      <c r="Q4" s="33"/>
      <c r="R4" s="10"/>
      <c r="S4" s="33" t="s">
        <v>21</v>
      </c>
      <c r="T4" s="33"/>
      <c r="U4" s="10"/>
      <c r="V4" s="33" t="s">
        <v>22</v>
      </c>
      <c r="W4" s="33"/>
      <c r="X4" s="10"/>
      <c r="Y4" s="33" t="s">
        <v>23</v>
      </c>
      <c r="Z4" s="33"/>
      <c r="AA4" s="10"/>
      <c r="AB4" s="33" t="s">
        <v>24</v>
      </c>
      <c r="AC4" s="33"/>
      <c r="AD4" s="10"/>
      <c r="AE4" s="33" t="s">
        <v>25</v>
      </c>
      <c r="AF4" s="33"/>
      <c r="AG4" s="10"/>
      <c r="AH4" s="33" t="s">
        <v>26</v>
      </c>
      <c r="AI4" s="33"/>
      <c r="AJ4" s="10"/>
    </row>
    <row r="5" spans="1:36" x14ac:dyDescent="0.2">
      <c r="B5" s="11"/>
      <c r="D5" s="12" t="s">
        <v>1</v>
      </c>
      <c r="E5" s="13" t="s">
        <v>2</v>
      </c>
      <c r="F5" s="6"/>
      <c r="G5" s="11" t="s">
        <v>3</v>
      </c>
      <c r="H5" s="11" t="s">
        <v>4</v>
      </c>
      <c r="I5" s="6"/>
      <c r="J5" s="11" t="s">
        <v>3</v>
      </c>
      <c r="K5" s="11" t="s">
        <v>4</v>
      </c>
      <c r="L5" s="6"/>
      <c r="M5" s="9" t="s">
        <v>3</v>
      </c>
      <c r="N5" s="11" t="s">
        <v>4</v>
      </c>
      <c r="P5" s="10" t="s">
        <v>3</v>
      </c>
      <c r="Q5" s="10" t="s">
        <v>4</v>
      </c>
      <c r="R5" s="10"/>
      <c r="S5" s="10" t="s">
        <v>11</v>
      </c>
      <c r="T5" s="10" t="s">
        <v>4</v>
      </c>
      <c r="U5" s="10"/>
      <c r="V5" s="10" t="s">
        <v>11</v>
      </c>
      <c r="W5" s="10" t="s">
        <v>4</v>
      </c>
      <c r="X5" s="10"/>
      <c r="Y5" s="11" t="s">
        <v>3</v>
      </c>
      <c r="Z5" s="22" t="s">
        <v>4</v>
      </c>
      <c r="AA5" s="10"/>
      <c r="AB5" s="11" t="s">
        <v>3</v>
      </c>
      <c r="AC5" s="22" t="s">
        <v>4</v>
      </c>
      <c r="AD5" s="10"/>
      <c r="AE5" s="11" t="s">
        <v>3</v>
      </c>
      <c r="AF5" s="22" t="s">
        <v>4</v>
      </c>
      <c r="AG5" s="10"/>
      <c r="AH5" s="11" t="s">
        <v>3</v>
      </c>
      <c r="AI5" s="22" t="s">
        <v>4</v>
      </c>
      <c r="AJ5" s="10"/>
    </row>
    <row r="6" spans="1:36" x14ac:dyDescent="0.2">
      <c r="A6" s="19" t="s">
        <v>15</v>
      </c>
      <c r="B6" s="14" t="s">
        <v>5</v>
      </c>
      <c r="C6" s="15" t="s">
        <v>6</v>
      </c>
      <c r="D6" s="16" t="s">
        <v>7</v>
      </c>
      <c r="E6" s="17" t="s">
        <v>8</v>
      </c>
      <c r="F6" s="6"/>
      <c r="G6" s="14" t="s">
        <v>9</v>
      </c>
      <c r="H6" s="14" t="s">
        <v>7</v>
      </c>
      <c r="I6" s="6"/>
      <c r="J6" s="14" t="s">
        <v>9</v>
      </c>
      <c r="K6" s="14" t="s">
        <v>7</v>
      </c>
      <c r="L6" s="6"/>
      <c r="M6" s="18" t="s">
        <v>9</v>
      </c>
      <c r="N6" s="14" t="s">
        <v>7</v>
      </c>
      <c r="P6" s="19" t="s">
        <v>9</v>
      </c>
      <c r="Q6" s="19" t="s">
        <v>7</v>
      </c>
      <c r="R6" s="19"/>
      <c r="S6" s="19" t="s">
        <v>9</v>
      </c>
      <c r="T6" s="19" t="s">
        <v>7</v>
      </c>
      <c r="U6" s="19"/>
      <c r="V6" s="19" t="s">
        <v>9</v>
      </c>
      <c r="W6" s="19" t="s">
        <v>7</v>
      </c>
      <c r="X6" s="19"/>
      <c r="Y6" s="14" t="s">
        <v>10</v>
      </c>
      <c r="Z6" s="23" t="s">
        <v>7</v>
      </c>
      <c r="AA6" s="19"/>
      <c r="AB6" s="14" t="s">
        <v>10</v>
      </c>
      <c r="AC6" s="23" t="s">
        <v>7</v>
      </c>
      <c r="AD6" s="19"/>
      <c r="AE6" s="14" t="s">
        <v>10</v>
      </c>
      <c r="AF6" s="23" t="s">
        <v>7</v>
      </c>
      <c r="AG6" s="19"/>
      <c r="AH6" s="14" t="s">
        <v>10</v>
      </c>
      <c r="AI6" s="23" t="s">
        <v>7</v>
      </c>
      <c r="AJ6" s="19"/>
    </row>
    <row r="7" spans="1:36" ht="15" x14ac:dyDescent="0.25">
      <c r="B7" s="20"/>
      <c r="C7" s="15"/>
      <c r="D7" s="16"/>
      <c r="E7" s="17"/>
      <c r="F7" s="6"/>
      <c r="G7" s="14"/>
      <c r="H7" s="14"/>
      <c r="I7" s="6"/>
      <c r="J7" s="14"/>
      <c r="K7" s="14"/>
      <c r="L7" s="6"/>
      <c r="M7" s="14"/>
      <c r="N7" s="14"/>
      <c r="Q7"/>
      <c r="T7"/>
      <c r="W7"/>
      <c r="Y7" s="14"/>
      <c r="Z7" s="23"/>
      <c r="AB7" s="14"/>
      <c r="AC7" s="23"/>
      <c r="AE7" s="14"/>
      <c r="AF7" s="23"/>
      <c r="AH7" s="14"/>
      <c r="AI7" s="23"/>
    </row>
    <row r="8" spans="1:36" ht="15" x14ac:dyDescent="0.25">
      <c r="A8" t="s">
        <v>27</v>
      </c>
      <c r="B8" t="s">
        <v>28</v>
      </c>
      <c r="C8" t="s">
        <v>29</v>
      </c>
      <c r="D8" s="3">
        <v>0</v>
      </c>
      <c r="E8" t="s">
        <v>30</v>
      </c>
      <c r="F8" t="s">
        <v>30</v>
      </c>
      <c r="G8">
        <v>12</v>
      </c>
      <c r="H8" s="3">
        <f>(0*12)</f>
        <v>0</v>
      </c>
      <c r="I8" t="s">
        <v>30</v>
      </c>
      <c r="J8">
        <v>12</v>
      </c>
      <c r="K8" s="3">
        <f>(0*12)</f>
        <v>0</v>
      </c>
      <c r="L8" t="s">
        <v>30</v>
      </c>
      <c r="M8">
        <v>12</v>
      </c>
      <c r="N8" s="3">
        <f>(0*12)</f>
        <v>0</v>
      </c>
      <c r="O8" t="s">
        <v>30</v>
      </c>
      <c r="P8">
        <v>12</v>
      </c>
      <c r="Q8" s="3">
        <f>(0*12)</f>
        <v>0</v>
      </c>
      <c r="R8" t="s">
        <v>30</v>
      </c>
      <c r="S8">
        <v>12</v>
      </c>
      <c r="T8" s="3">
        <f>(0*12)</f>
        <v>0</v>
      </c>
      <c r="U8" t="s">
        <v>30</v>
      </c>
      <c r="V8">
        <v>12</v>
      </c>
      <c r="W8" s="3">
        <f>(0*12)</f>
        <v>0</v>
      </c>
      <c r="X8" t="s">
        <v>30</v>
      </c>
      <c r="Y8">
        <v>60</v>
      </c>
      <c r="Z8" s="3">
        <f>(0*60)</f>
        <v>0</v>
      </c>
      <c r="AA8" t="s">
        <v>30</v>
      </c>
      <c r="AB8">
        <v>60</v>
      </c>
      <c r="AC8" s="3">
        <f>(0*60)</f>
        <v>0</v>
      </c>
      <c r="AD8" t="s">
        <v>30</v>
      </c>
      <c r="AE8">
        <v>60</v>
      </c>
      <c r="AF8" s="3">
        <f>(0*60)</f>
        <v>0</v>
      </c>
      <c r="AG8" t="s">
        <v>30</v>
      </c>
      <c r="AH8">
        <v>60</v>
      </c>
      <c r="AI8" s="3">
        <f>(0*60)</f>
        <v>0</v>
      </c>
    </row>
    <row r="9" spans="1:36" ht="15" x14ac:dyDescent="0.25">
      <c r="A9" t="s">
        <v>31</v>
      </c>
      <c r="B9" t="s">
        <v>32</v>
      </c>
      <c r="C9" t="s">
        <v>33</v>
      </c>
      <c r="D9" s="3">
        <v>814.58</v>
      </c>
      <c r="E9" t="s">
        <v>34</v>
      </c>
      <c r="F9" t="s">
        <v>30</v>
      </c>
      <c r="G9">
        <v>12</v>
      </c>
      <c r="H9" s="3">
        <f>(814.58*12)</f>
        <v>9774.9600000000009</v>
      </c>
      <c r="I9" t="s">
        <v>30</v>
      </c>
      <c r="J9">
        <v>11</v>
      </c>
      <c r="K9" s="3">
        <f>(814.58*11)</f>
        <v>8960.380000000001</v>
      </c>
      <c r="L9" t="s">
        <v>30</v>
      </c>
      <c r="M9">
        <v>0</v>
      </c>
      <c r="N9" s="3"/>
      <c r="O9" t="s">
        <v>30</v>
      </c>
      <c r="P9">
        <v>0</v>
      </c>
      <c r="Q9" s="3"/>
      <c r="R9" t="s">
        <v>30</v>
      </c>
      <c r="S9">
        <v>0</v>
      </c>
      <c r="T9" s="3"/>
      <c r="U9" t="s">
        <v>30</v>
      </c>
      <c r="V9">
        <v>0</v>
      </c>
      <c r="W9" s="3"/>
      <c r="X9" t="s">
        <v>30</v>
      </c>
      <c r="Y9">
        <v>0</v>
      </c>
      <c r="Z9" s="3"/>
      <c r="AA9" t="s">
        <v>30</v>
      </c>
      <c r="AB9">
        <v>0</v>
      </c>
      <c r="AC9" s="3"/>
      <c r="AD9" t="s">
        <v>30</v>
      </c>
      <c r="AE9">
        <v>0</v>
      </c>
      <c r="AF9" s="3"/>
      <c r="AG9" t="s">
        <v>30</v>
      </c>
      <c r="AH9">
        <v>0</v>
      </c>
      <c r="AI9" s="3"/>
    </row>
    <row r="10" spans="1:36" ht="15" x14ac:dyDescent="0.25">
      <c r="A10" t="s">
        <v>35</v>
      </c>
      <c r="B10" t="s">
        <v>36</v>
      </c>
      <c r="C10" t="s">
        <v>37</v>
      </c>
      <c r="D10" s="3">
        <v>9224.17</v>
      </c>
      <c r="E10" t="s">
        <v>38</v>
      </c>
      <c r="F10" t="s">
        <v>30</v>
      </c>
      <c r="G10">
        <v>10</v>
      </c>
      <c r="H10" s="3">
        <f>(9224.17*10)</f>
        <v>92241.7</v>
      </c>
      <c r="I10" t="s">
        <v>30</v>
      </c>
      <c r="J10">
        <v>0</v>
      </c>
      <c r="K10" s="3"/>
      <c r="L10" t="s">
        <v>30</v>
      </c>
      <c r="M10">
        <v>0</v>
      </c>
      <c r="N10" s="3"/>
      <c r="O10" t="s">
        <v>30</v>
      </c>
      <c r="P10">
        <v>0</v>
      </c>
      <c r="Q10" s="3"/>
      <c r="R10" t="s">
        <v>30</v>
      </c>
      <c r="S10">
        <v>0</v>
      </c>
      <c r="T10" s="3"/>
      <c r="U10" t="s">
        <v>30</v>
      </c>
      <c r="V10">
        <v>0</v>
      </c>
      <c r="W10" s="3"/>
      <c r="X10" t="s">
        <v>30</v>
      </c>
      <c r="Y10">
        <v>0</v>
      </c>
      <c r="Z10" s="3"/>
      <c r="AA10" t="s">
        <v>30</v>
      </c>
      <c r="AB10">
        <v>0</v>
      </c>
      <c r="AC10" s="3"/>
      <c r="AD10" t="s">
        <v>30</v>
      </c>
      <c r="AE10">
        <v>0</v>
      </c>
      <c r="AF10" s="3"/>
      <c r="AG10" t="s">
        <v>30</v>
      </c>
      <c r="AH10">
        <v>0</v>
      </c>
      <c r="AI10" s="3"/>
    </row>
    <row r="11" spans="1:36" ht="15" x14ac:dyDescent="0.25">
      <c r="A11" t="s">
        <v>39</v>
      </c>
      <c r="B11" t="s">
        <v>40</v>
      </c>
      <c r="C11" t="s">
        <v>41</v>
      </c>
      <c r="D11" s="3">
        <v>564.79999999999995</v>
      </c>
      <c r="E11" t="s">
        <v>42</v>
      </c>
      <c r="F11" t="s">
        <v>30</v>
      </c>
      <c r="G11">
        <v>4</v>
      </c>
      <c r="H11" s="3">
        <f>(564.8*4)</f>
        <v>2259.1999999999998</v>
      </c>
      <c r="I11" t="s">
        <v>30</v>
      </c>
      <c r="J11">
        <v>0</v>
      </c>
      <c r="K11" s="3"/>
      <c r="L11" t="s">
        <v>30</v>
      </c>
      <c r="M11">
        <v>0</v>
      </c>
      <c r="N11" s="3"/>
      <c r="O11" t="s">
        <v>30</v>
      </c>
      <c r="P11">
        <v>0</v>
      </c>
      <c r="Q11" s="3"/>
      <c r="R11" t="s">
        <v>30</v>
      </c>
      <c r="S11">
        <v>0</v>
      </c>
      <c r="T11" s="3"/>
      <c r="U11" t="s">
        <v>30</v>
      </c>
      <c r="V11">
        <v>0</v>
      </c>
      <c r="W11" s="3"/>
      <c r="X11" t="s">
        <v>30</v>
      </c>
      <c r="Y11">
        <v>0</v>
      </c>
      <c r="Z11" s="3"/>
      <c r="AA11" t="s">
        <v>30</v>
      </c>
      <c r="AB11">
        <v>0</v>
      </c>
      <c r="AC11" s="3"/>
      <c r="AD11" t="s">
        <v>30</v>
      </c>
      <c r="AE11">
        <v>0</v>
      </c>
      <c r="AF11" s="3"/>
      <c r="AG11" t="s">
        <v>30</v>
      </c>
      <c r="AH11">
        <v>0</v>
      </c>
      <c r="AI11" s="3"/>
    </row>
    <row r="12" spans="1:36" ht="15" x14ac:dyDescent="0.25">
      <c r="A12" t="s">
        <v>43</v>
      </c>
      <c r="B12" t="s">
        <v>44</v>
      </c>
      <c r="C12" t="s">
        <v>45</v>
      </c>
      <c r="D12" s="3">
        <v>0.08</v>
      </c>
      <c r="E12" t="s">
        <v>46</v>
      </c>
      <c r="F12" t="s">
        <v>30</v>
      </c>
      <c r="G12">
        <v>0</v>
      </c>
      <c r="H12" s="3"/>
      <c r="I12" t="s">
        <v>30</v>
      </c>
      <c r="J12">
        <v>0</v>
      </c>
      <c r="K12" s="3"/>
      <c r="L12" t="s">
        <v>30</v>
      </c>
      <c r="M12">
        <v>0</v>
      </c>
      <c r="N12" s="3"/>
      <c r="O12" t="s">
        <v>30</v>
      </c>
      <c r="P12">
        <v>0</v>
      </c>
      <c r="Q12" s="3"/>
      <c r="R12" t="s">
        <v>30</v>
      </c>
      <c r="S12">
        <v>0</v>
      </c>
      <c r="T12" s="3"/>
      <c r="U12" t="s">
        <v>30</v>
      </c>
      <c r="V12">
        <v>0</v>
      </c>
      <c r="W12" s="3"/>
      <c r="X12" t="s">
        <v>30</v>
      </c>
      <c r="Y12">
        <v>0</v>
      </c>
      <c r="Z12" s="3"/>
      <c r="AA12" t="s">
        <v>30</v>
      </c>
      <c r="AB12">
        <v>0</v>
      </c>
      <c r="AC12" s="3"/>
      <c r="AD12" t="s">
        <v>30</v>
      </c>
      <c r="AE12">
        <v>0</v>
      </c>
      <c r="AF12" s="3"/>
      <c r="AG12" t="s">
        <v>30</v>
      </c>
      <c r="AH12">
        <v>0</v>
      </c>
      <c r="AI12" s="3"/>
    </row>
    <row r="13" spans="1:36" ht="15" x14ac:dyDescent="0.25">
      <c r="A13" t="s">
        <v>47</v>
      </c>
      <c r="B13" t="s">
        <v>48</v>
      </c>
      <c r="C13" t="s">
        <v>49</v>
      </c>
      <c r="D13" s="3">
        <v>1664.5</v>
      </c>
      <c r="E13" t="s">
        <v>17</v>
      </c>
      <c r="F13" t="s">
        <v>30</v>
      </c>
      <c r="G13">
        <v>12</v>
      </c>
      <c r="H13" s="3">
        <f>(1664.5*12)</f>
        <v>19974</v>
      </c>
      <c r="I13" t="s">
        <v>30</v>
      </c>
      <c r="J13">
        <v>0</v>
      </c>
      <c r="K13" s="3"/>
      <c r="L13" t="s">
        <v>30</v>
      </c>
      <c r="M13">
        <v>0</v>
      </c>
      <c r="N13" s="3"/>
      <c r="O13" t="s">
        <v>30</v>
      </c>
      <c r="P13">
        <v>0</v>
      </c>
      <c r="Q13" s="3"/>
      <c r="R13" t="s">
        <v>30</v>
      </c>
      <c r="S13">
        <v>0</v>
      </c>
      <c r="T13" s="3"/>
      <c r="U13" t="s">
        <v>30</v>
      </c>
      <c r="V13">
        <v>0</v>
      </c>
      <c r="W13" s="3"/>
      <c r="X13" t="s">
        <v>30</v>
      </c>
      <c r="Y13">
        <v>0</v>
      </c>
      <c r="Z13" s="3"/>
      <c r="AA13" t="s">
        <v>30</v>
      </c>
      <c r="AB13">
        <v>0</v>
      </c>
      <c r="AC13" s="3"/>
      <c r="AD13" t="s">
        <v>30</v>
      </c>
      <c r="AE13">
        <v>0</v>
      </c>
      <c r="AF13" s="3"/>
      <c r="AG13" t="s">
        <v>30</v>
      </c>
      <c r="AH13">
        <v>0</v>
      </c>
      <c r="AI13" s="3"/>
    </row>
    <row r="14" spans="1:36" ht="15" x14ac:dyDescent="0.25">
      <c r="A14" t="s">
        <v>50</v>
      </c>
      <c r="B14" t="s">
        <v>51</v>
      </c>
      <c r="C14" t="s">
        <v>52</v>
      </c>
      <c r="D14" s="3">
        <v>0</v>
      </c>
      <c r="E14" t="s">
        <v>30</v>
      </c>
      <c r="F14" t="s">
        <v>30</v>
      </c>
      <c r="G14">
        <v>12</v>
      </c>
      <c r="H14" s="3">
        <f>(0*12)</f>
        <v>0</v>
      </c>
      <c r="I14" t="s">
        <v>30</v>
      </c>
      <c r="J14">
        <v>12</v>
      </c>
      <c r="K14" s="3">
        <f>(0*12)</f>
        <v>0</v>
      </c>
      <c r="L14" t="s">
        <v>30</v>
      </c>
      <c r="M14">
        <v>12</v>
      </c>
      <c r="N14" s="3">
        <f>(0*12)</f>
        <v>0</v>
      </c>
      <c r="O14" t="s">
        <v>30</v>
      </c>
      <c r="P14">
        <v>12</v>
      </c>
      <c r="Q14" s="3">
        <f>(0*12)</f>
        <v>0</v>
      </c>
      <c r="R14" t="s">
        <v>30</v>
      </c>
      <c r="S14">
        <v>12</v>
      </c>
      <c r="T14" s="3">
        <f>(0*12)</f>
        <v>0</v>
      </c>
      <c r="U14" t="s">
        <v>30</v>
      </c>
      <c r="V14">
        <v>12</v>
      </c>
      <c r="W14" s="3">
        <f>(0*12)</f>
        <v>0</v>
      </c>
      <c r="X14" t="s">
        <v>30</v>
      </c>
      <c r="Y14">
        <v>60</v>
      </c>
      <c r="Z14" s="3">
        <f>(0*60)</f>
        <v>0</v>
      </c>
      <c r="AA14" t="s">
        <v>30</v>
      </c>
      <c r="AB14">
        <v>60</v>
      </c>
      <c r="AC14" s="3">
        <f>(0*60)</f>
        <v>0</v>
      </c>
      <c r="AD14" t="s">
        <v>30</v>
      </c>
      <c r="AE14">
        <v>60</v>
      </c>
      <c r="AF14" s="3">
        <f>(0*60)</f>
        <v>0</v>
      </c>
      <c r="AG14" t="s">
        <v>30</v>
      </c>
      <c r="AH14">
        <v>60</v>
      </c>
      <c r="AI14" s="3">
        <f>(0*60)</f>
        <v>0</v>
      </c>
    </row>
    <row r="15" spans="1:36" ht="15" x14ac:dyDescent="0.25">
      <c r="A15" t="s">
        <v>53</v>
      </c>
      <c r="B15" t="s">
        <v>54</v>
      </c>
      <c r="C15" t="s">
        <v>55</v>
      </c>
      <c r="D15" s="3">
        <v>2633.66</v>
      </c>
      <c r="E15" t="s">
        <v>56</v>
      </c>
      <c r="F15" t="s">
        <v>30</v>
      </c>
      <c r="G15">
        <v>12</v>
      </c>
      <c r="H15" s="3">
        <f>(2633.66*12)</f>
        <v>31603.919999999998</v>
      </c>
      <c r="I15" t="s">
        <v>30</v>
      </c>
      <c r="J15">
        <v>12</v>
      </c>
      <c r="K15" s="3">
        <f>(2633.66*12)</f>
        <v>31603.919999999998</v>
      </c>
      <c r="L15" t="s">
        <v>30</v>
      </c>
      <c r="M15">
        <v>12</v>
      </c>
      <c r="N15" s="3">
        <f>(2633.66*12)</f>
        <v>31603.919999999998</v>
      </c>
      <c r="O15" t="s">
        <v>30</v>
      </c>
      <c r="P15">
        <v>12</v>
      </c>
      <c r="Q15" s="3">
        <f>(2633.66*12)</f>
        <v>31603.919999999998</v>
      </c>
      <c r="R15" t="s">
        <v>30</v>
      </c>
      <c r="S15">
        <v>9</v>
      </c>
      <c r="T15" s="3">
        <f>(2633.66*9)</f>
        <v>23702.94</v>
      </c>
      <c r="U15" t="s">
        <v>30</v>
      </c>
      <c r="V15">
        <v>0</v>
      </c>
      <c r="W15" s="3"/>
      <c r="X15" t="s">
        <v>30</v>
      </c>
      <c r="Y15">
        <v>0</v>
      </c>
      <c r="Z15" s="3"/>
      <c r="AA15" t="s">
        <v>30</v>
      </c>
      <c r="AB15">
        <v>0</v>
      </c>
      <c r="AC15" s="3"/>
      <c r="AD15" t="s">
        <v>30</v>
      </c>
      <c r="AE15">
        <v>0</v>
      </c>
      <c r="AF15" s="3"/>
      <c r="AG15" t="s">
        <v>30</v>
      </c>
      <c r="AH15">
        <v>0</v>
      </c>
      <c r="AI15" s="3"/>
    </row>
    <row r="16" spans="1:36" ht="15" x14ac:dyDescent="0.25">
      <c r="A16" t="s">
        <v>57</v>
      </c>
      <c r="B16" t="s">
        <v>58</v>
      </c>
      <c r="C16" t="s">
        <v>59</v>
      </c>
      <c r="D16" s="3">
        <v>1158.5</v>
      </c>
      <c r="E16" t="s">
        <v>60</v>
      </c>
      <c r="F16" t="s">
        <v>30</v>
      </c>
      <c r="G16">
        <v>4</v>
      </c>
      <c r="H16" s="3">
        <f>(1124.76*4)</f>
        <v>4499.04</v>
      </c>
      <c r="I16" t="s">
        <v>30</v>
      </c>
      <c r="J16">
        <v>0</v>
      </c>
      <c r="K16" s="3"/>
      <c r="L16" t="s">
        <v>30</v>
      </c>
      <c r="M16">
        <v>0</v>
      </c>
      <c r="N16" s="3"/>
      <c r="O16" t="s">
        <v>30</v>
      </c>
      <c r="P16">
        <v>0</v>
      </c>
      <c r="Q16" s="3"/>
      <c r="R16" t="s">
        <v>30</v>
      </c>
      <c r="S16">
        <v>0</v>
      </c>
      <c r="T16" s="3"/>
      <c r="U16" t="s">
        <v>30</v>
      </c>
      <c r="V16">
        <v>0</v>
      </c>
      <c r="W16" s="3"/>
      <c r="X16" t="s">
        <v>30</v>
      </c>
      <c r="Y16">
        <v>0</v>
      </c>
      <c r="Z16" s="3"/>
      <c r="AA16" t="s">
        <v>30</v>
      </c>
      <c r="AB16">
        <v>0</v>
      </c>
      <c r="AC16" s="3"/>
      <c r="AD16" t="s">
        <v>30</v>
      </c>
      <c r="AE16">
        <v>0</v>
      </c>
      <c r="AF16" s="3"/>
      <c r="AG16" t="s">
        <v>30</v>
      </c>
      <c r="AH16">
        <v>0</v>
      </c>
      <c r="AI16" s="3"/>
    </row>
    <row r="17" spans="1:35" ht="15" x14ac:dyDescent="0.25">
      <c r="A17" t="s">
        <v>61</v>
      </c>
      <c r="B17" t="s">
        <v>62</v>
      </c>
      <c r="C17" t="s">
        <v>63</v>
      </c>
      <c r="D17" s="3">
        <v>848.33</v>
      </c>
      <c r="E17" t="s">
        <v>38</v>
      </c>
      <c r="F17" t="s">
        <v>30</v>
      </c>
      <c r="G17">
        <v>10</v>
      </c>
      <c r="H17" s="3">
        <f>(848.33*10)</f>
        <v>8483.3000000000011</v>
      </c>
      <c r="I17" t="s">
        <v>30</v>
      </c>
      <c r="J17">
        <v>0</v>
      </c>
      <c r="K17" s="3"/>
      <c r="L17" t="s">
        <v>30</v>
      </c>
      <c r="M17">
        <v>0</v>
      </c>
      <c r="N17" s="3"/>
      <c r="O17" t="s">
        <v>30</v>
      </c>
      <c r="P17">
        <v>0</v>
      </c>
      <c r="Q17" s="3"/>
      <c r="R17" t="s">
        <v>30</v>
      </c>
      <c r="S17">
        <v>0</v>
      </c>
      <c r="T17" s="3"/>
      <c r="U17" t="s">
        <v>30</v>
      </c>
      <c r="V17">
        <v>0</v>
      </c>
      <c r="W17" s="3"/>
      <c r="X17" t="s">
        <v>30</v>
      </c>
      <c r="Y17">
        <v>0</v>
      </c>
      <c r="Z17" s="3"/>
      <c r="AA17" t="s">
        <v>30</v>
      </c>
      <c r="AB17">
        <v>0</v>
      </c>
      <c r="AC17" s="3"/>
      <c r="AD17" t="s">
        <v>30</v>
      </c>
      <c r="AE17">
        <v>0</v>
      </c>
      <c r="AF17" s="3"/>
      <c r="AG17" t="s">
        <v>30</v>
      </c>
      <c r="AH17">
        <v>0</v>
      </c>
      <c r="AI17" s="3"/>
    </row>
    <row r="18" spans="1:35" ht="15" x14ac:dyDescent="0.25">
      <c r="A18" t="s">
        <v>64</v>
      </c>
      <c r="B18" t="s">
        <v>65</v>
      </c>
      <c r="C18" t="s">
        <v>66</v>
      </c>
      <c r="D18" s="3">
        <v>930.75</v>
      </c>
      <c r="E18" t="s">
        <v>67</v>
      </c>
      <c r="F18" t="s">
        <v>30</v>
      </c>
      <c r="G18">
        <v>12</v>
      </c>
      <c r="H18" s="3">
        <f>(912.5*3)+(930.75*9)</f>
        <v>11114.25</v>
      </c>
      <c r="I18" t="s">
        <v>30</v>
      </c>
      <c r="J18">
        <v>3</v>
      </c>
      <c r="K18" s="3">
        <f>(930.75*3)</f>
        <v>2792.25</v>
      </c>
      <c r="L18" t="s">
        <v>30</v>
      </c>
      <c r="M18">
        <v>0</v>
      </c>
      <c r="N18" s="3"/>
      <c r="O18" t="s">
        <v>30</v>
      </c>
      <c r="P18">
        <v>0</v>
      </c>
      <c r="Q18" s="3"/>
      <c r="R18" t="s">
        <v>30</v>
      </c>
      <c r="S18">
        <v>0</v>
      </c>
      <c r="T18" s="3"/>
      <c r="U18" t="s">
        <v>30</v>
      </c>
      <c r="V18">
        <v>0</v>
      </c>
      <c r="W18" s="3"/>
      <c r="X18" t="s">
        <v>30</v>
      </c>
      <c r="Y18">
        <v>0</v>
      </c>
      <c r="Z18" s="3"/>
      <c r="AA18" t="s">
        <v>30</v>
      </c>
      <c r="AB18">
        <v>0</v>
      </c>
      <c r="AC18" s="3"/>
      <c r="AD18" t="s">
        <v>30</v>
      </c>
      <c r="AE18">
        <v>0</v>
      </c>
      <c r="AF18" s="3"/>
      <c r="AG18" t="s">
        <v>30</v>
      </c>
      <c r="AH18">
        <v>0</v>
      </c>
      <c r="AI18" s="3"/>
    </row>
    <row r="19" spans="1:35" ht="15" x14ac:dyDescent="0.25">
      <c r="A19" t="s">
        <v>68</v>
      </c>
      <c r="B19" t="s">
        <v>69</v>
      </c>
      <c r="C19" t="s">
        <v>70</v>
      </c>
      <c r="D19" s="3">
        <v>1478.26</v>
      </c>
      <c r="E19" t="s">
        <v>71</v>
      </c>
      <c r="F19" t="s">
        <v>30</v>
      </c>
      <c r="G19">
        <v>12</v>
      </c>
      <c r="H19" s="3">
        <f>(1478.26*12)</f>
        <v>17739.12</v>
      </c>
      <c r="I19" t="s">
        <v>30</v>
      </c>
      <c r="J19">
        <v>12</v>
      </c>
      <c r="K19" s="3">
        <f>(1478.26*12)</f>
        <v>17739.12</v>
      </c>
      <c r="L19" t="s">
        <v>30</v>
      </c>
      <c r="M19">
        <v>0</v>
      </c>
      <c r="N19" s="3"/>
      <c r="O19" t="s">
        <v>30</v>
      </c>
      <c r="P19">
        <v>0</v>
      </c>
      <c r="Q19" s="3"/>
      <c r="R19" t="s">
        <v>30</v>
      </c>
      <c r="S19">
        <v>0</v>
      </c>
      <c r="T19" s="3"/>
      <c r="U19" t="s">
        <v>30</v>
      </c>
      <c r="V19">
        <v>0</v>
      </c>
      <c r="W19" s="3"/>
      <c r="X19" t="s">
        <v>30</v>
      </c>
      <c r="Y19">
        <v>0</v>
      </c>
      <c r="Z19" s="3"/>
      <c r="AA19" t="s">
        <v>30</v>
      </c>
      <c r="AB19">
        <v>0</v>
      </c>
      <c r="AC19" s="3"/>
      <c r="AD19" t="s">
        <v>30</v>
      </c>
      <c r="AE19">
        <v>0</v>
      </c>
      <c r="AF19" s="3"/>
      <c r="AG19" t="s">
        <v>30</v>
      </c>
      <c r="AH19">
        <v>0</v>
      </c>
      <c r="AI19" s="3"/>
    </row>
    <row r="20" spans="1:35" ht="15" x14ac:dyDescent="0.25">
      <c r="A20" t="s">
        <v>72</v>
      </c>
      <c r="B20" t="s">
        <v>73</v>
      </c>
      <c r="C20" t="s">
        <v>74</v>
      </c>
      <c r="D20" s="3">
        <v>2944.42</v>
      </c>
      <c r="E20" t="s">
        <v>75</v>
      </c>
      <c r="F20" t="s">
        <v>30</v>
      </c>
      <c r="G20">
        <v>9</v>
      </c>
      <c r="H20" s="3">
        <f>(2944.42*9)</f>
        <v>26499.78</v>
      </c>
      <c r="I20" t="s">
        <v>30</v>
      </c>
      <c r="J20">
        <v>0</v>
      </c>
      <c r="K20" s="3"/>
      <c r="L20" t="s">
        <v>30</v>
      </c>
      <c r="M20">
        <v>0</v>
      </c>
      <c r="N20" s="3"/>
      <c r="O20" t="s">
        <v>30</v>
      </c>
      <c r="P20">
        <v>0</v>
      </c>
      <c r="Q20" s="3"/>
      <c r="R20" t="s">
        <v>30</v>
      </c>
      <c r="S20">
        <v>0</v>
      </c>
      <c r="T20" s="3"/>
      <c r="U20" t="s">
        <v>30</v>
      </c>
      <c r="V20">
        <v>0</v>
      </c>
      <c r="W20" s="3"/>
      <c r="X20" t="s">
        <v>30</v>
      </c>
      <c r="Y20">
        <v>0</v>
      </c>
      <c r="Z20" s="3"/>
      <c r="AA20" t="s">
        <v>30</v>
      </c>
      <c r="AB20">
        <v>0</v>
      </c>
      <c r="AC20" s="3"/>
      <c r="AD20" t="s">
        <v>30</v>
      </c>
      <c r="AE20">
        <v>0</v>
      </c>
      <c r="AF20" s="3"/>
      <c r="AG20" t="s">
        <v>30</v>
      </c>
      <c r="AH20">
        <v>0</v>
      </c>
      <c r="AI20" s="3"/>
    </row>
    <row r="21" spans="1:35" ht="15" x14ac:dyDescent="0.25">
      <c r="A21" t="s">
        <v>76</v>
      </c>
      <c r="B21" t="s">
        <v>77</v>
      </c>
      <c r="C21" t="s">
        <v>78</v>
      </c>
      <c r="D21" s="3">
        <v>3566.33</v>
      </c>
      <c r="E21" t="s">
        <v>79</v>
      </c>
      <c r="F21" t="s">
        <v>30</v>
      </c>
      <c r="G21">
        <v>12</v>
      </c>
      <c r="H21" s="3">
        <f>(3292*5)+(3566.33*7)</f>
        <v>41424.31</v>
      </c>
      <c r="I21" t="s">
        <v>30</v>
      </c>
      <c r="J21">
        <v>12</v>
      </c>
      <c r="K21" s="3">
        <f>(3566.33*12)</f>
        <v>42795.96</v>
      </c>
      <c r="L21" t="s">
        <v>30</v>
      </c>
      <c r="M21">
        <v>12</v>
      </c>
      <c r="N21" s="3">
        <f>(3566.33*12)</f>
        <v>42795.96</v>
      </c>
      <c r="O21" t="s">
        <v>30</v>
      </c>
      <c r="P21">
        <v>11</v>
      </c>
      <c r="Q21" s="3">
        <f>(3566.33*11)</f>
        <v>39229.629999999997</v>
      </c>
      <c r="R21" t="s">
        <v>30</v>
      </c>
      <c r="S21">
        <v>0</v>
      </c>
      <c r="T21" s="3"/>
      <c r="U21" t="s">
        <v>30</v>
      </c>
      <c r="V21">
        <v>0</v>
      </c>
      <c r="W21" s="3"/>
      <c r="X21" t="s">
        <v>30</v>
      </c>
      <c r="Y21">
        <v>0</v>
      </c>
      <c r="Z21" s="3"/>
      <c r="AA21" t="s">
        <v>30</v>
      </c>
      <c r="AB21">
        <v>0</v>
      </c>
      <c r="AC21" s="3"/>
      <c r="AD21" t="s">
        <v>30</v>
      </c>
      <c r="AE21">
        <v>0</v>
      </c>
      <c r="AF21" s="3"/>
      <c r="AG21" t="s">
        <v>30</v>
      </c>
      <c r="AH21">
        <v>0</v>
      </c>
      <c r="AI21" s="3"/>
    </row>
    <row r="22" spans="1:35" ht="15" x14ac:dyDescent="0.25">
      <c r="A22" t="s">
        <v>80</v>
      </c>
      <c r="B22" t="s">
        <v>81</v>
      </c>
      <c r="C22" t="s">
        <v>82</v>
      </c>
      <c r="D22" s="3">
        <v>3003.8</v>
      </c>
      <c r="E22" t="s">
        <v>83</v>
      </c>
      <c r="F22" t="s">
        <v>30</v>
      </c>
      <c r="G22">
        <v>11</v>
      </c>
      <c r="H22" s="3">
        <f>(3003.8*11)</f>
        <v>33041.800000000003</v>
      </c>
      <c r="I22" t="s">
        <v>30</v>
      </c>
      <c r="J22">
        <v>0</v>
      </c>
      <c r="K22" s="3"/>
      <c r="L22" t="s">
        <v>30</v>
      </c>
      <c r="M22">
        <v>0</v>
      </c>
      <c r="N22" s="3"/>
      <c r="O22" t="s">
        <v>30</v>
      </c>
      <c r="P22">
        <v>0</v>
      </c>
      <c r="Q22" s="3"/>
      <c r="R22" t="s">
        <v>30</v>
      </c>
      <c r="S22">
        <v>0</v>
      </c>
      <c r="T22" s="3"/>
      <c r="U22" t="s">
        <v>30</v>
      </c>
      <c r="V22">
        <v>0</v>
      </c>
      <c r="W22" s="3"/>
      <c r="X22" t="s">
        <v>30</v>
      </c>
      <c r="Y22">
        <v>0</v>
      </c>
      <c r="Z22" s="3"/>
      <c r="AA22" t="s">
        <v>30</v>
      </c>
      <c r="AB22">
        <v>0</v>
      </c>
      <c r="AC22" s="3"/>
      <c r="AD22" t="s">
        <v>30</v>
      </c>
      <c r="AE22">
        <v>0</v>
      </c>
      <c r="AF22" s="3"/>
      <c r="AG22" t="s">
        <v>30</v>
      </c>
      <c r="AH22">
        <v>0</v>
      </c>
      <c r="AI22" s="3"/>
    </row>
    <row r="23" spans="1:35" ht="15" x14ac:dyDescent="0.25">
      <c r="A23" t="s">
        <v>84</v>
      </c>
      <c r="B23" t="s">
        <v>85</v>
      </c>
      <c r="C23" t="s">
        <v>86</v>
      </c>
      <c r="D23" s="3">
        <v>4620</v>
      </c>
      <c r="E23" t="s">
        <v>87</v>
      </c>
      <c r="F23" t="s">
        <v>30</v>
      </c>
      <c r="G23">
        <v>12</v>
      </c>
      <c r="H23" s="3">
        <f>(4620*12)</f>
        <v>55440</v>
      </c>
      <c r="I23" t="s">
        <v>30</v>
      </c>
      <c r="J23">
        <v>12</v>
      </c>
      <c r="K23" s="3">
        <f>(4620*12)</f>
        <v>55440</v>
      </c>
      <c r="L23" t="s">
        <v>30</v>
      </c>
      <c r="M23">
        <v>12</v>
      </c>
      <c r="N23" s="3">
        <f>(4620*12)</f>
        <v>55440</v>
      </c>
      <c r="O23" t="s">
        <v>30</v>
      </c>
      <c r="P23">
        <v>12</v>
      </c>
      <c r="Q23" s="3">
        <f>(4620*12)</f>
        <v>55440</v>
      </c>
      <c r="R23" t="s">
        <v>30</v>
      </c>
      <c r="S23">
        <v>12</v>
      </c>
      <c r="T23" s="3">
        <f>(4620*12)</f>
        <v>55440</v>
      </c>
      <c r="U23" t="s">
        <v>30</v>
      </c>
      <c r="V23">
        <v>12</v>
      </c>
      <c r="W23" s="3">
        <f>(4620*12)</f>
        <v>55440</v>
      </c>
      <c r="X23" t="s">
        <v>30</v>
      </c>
      <c r="Y23">
        <v>60</v>
      </c>
      <c r="Z23" s="3">
        <f>(4620*60)</f>
        <v>277200</v>
      </c>
      <c r="AA23" t="s">
        <v>30</v>
      </c>
      <c r="AB23">
        <v>60</v>
      </c>
      <c r="AC23" s="3">
        <f>(4620*60)</f>
        <v>277200</v>
      </c>
      <c r="AD23" t="s">
        <v>30</v>
      </c>
      <c r="AE23">
        <v>60</v>
      </c>
      <c r="AF23" s="3">
        <f>(4620*60)</f>
        <v>277200</v>
      </c>
      <c r="AG23" t="s">
        <v>30</v>
      </c>
      <c r="AH23">
        <v>83</v>
      </c>
      <c r="AI23" s="3">
        <f>(4620*83)</f>
        <v>383460</v>
      </c>
    </row>
    <row r="24" spans="1:35" ht="15" x14ac:dyDescent="0.25">
      <c r="A24" t="s">
        <v>88</v>
      </c>
      <c r="B24" t="s">
        <v>89</v>
      </c>
      <c r="C24" t="s">
        <v>90</v>
      </c>
      <c r="D24" s="3">
        <v>770.14</v>
      </c>
      <c r="E24" t="s">
        <v>87</v>
      </c>
      <c r="F24" t="s">
        <v>30</v>
      </c>
      <c r="G24">
        <v>12</v>
      </c>
      <c r="H24" s="3">
        <f>(770.14*12)</f>
        <v>9241.68</v>
      </c>
      <c r="I24" t="s">
        <v>30</v>
      </c>
      <c r="J24">
        <v>12</v>
      </c>
      <c r="K24" s="3">
        <f>(770.14*12)</f>
        <v>9241.68</v>
      </c>
      <c r="L24" t="s">
        <v>30</v>
      </c>
      <c r="M24">
        <v>12</v>
      </c>
      <c r="N24" s="3">
        <f>(770.14*12)</f>
        <v>9241.68</v>
      </c>
      <c r="O24" t="s">
        <v>30</v>
      </c>
      <c r="P24">
        <v>12</v>
      </c>
      <c r="Q24" s="3">
        <f>(770.14*12)</f>
        <v>9241.68</v>
      </c>
      <c r="R24" t="s">
        <v>30</v>
      </c>
      <c r="S24">
        <v>12</v>
      </c>
      <c r="T24" s="3">
        <f>(770.14*12)</f>
        <v>9241.68</v>
      </c>
      <c r="U24" t="s">
        <v>30</v>
      </c>
      <c r="V24">
        <v>12</v>
      </c>
      <c r="W24" s="3">
        <f>(770.14*12)</f>
        <v>9241.68</v>
      </c>
      <c r="X24" t="s">
        <v>30</v>
      </c>
      <c r="Y24">
        <v>60</v>
      </c>
      <c r="Z24" s="3">
        <f>(770.14*60)</f>
        <v>46208.4</v>
      </c>
      <c r="AA24" t="s">
        <v>30</v>
      </c>
      <c r="AB24">
        <v>60</v>
      </c>
      <c r="AC24" s="3">
        <f>(770.14*60)</f>
        <v>46208.4</v>
      </c>
      <c r="AD24" t="s">
        <v>30</v>
      </c>
      <c r="AE24">
        <v>60</v>
      </c>
      <c r="AF24" s="3">
        <f>(770.14*60)</f>
        <v>46208.4</v>
      </c>
      <c r="AG24" t="s">
        <v>30</v>
      </c>
      <c r="AH24">
        <v>83</v>
      </c>
      <c r="AI24" s="3">
        <f>(770.14*83)</f>
        <v>63921.619999999995</v>
      </c>
    </row>
    <row r="25" spans="1:35" ht="15" x14ac:dyDescent="0.25">
      <c r="A25" t="s">
        <v>91</v>
      </c>
      <c r="B25" t="s">
        <v>92</v>
      </c>
      <c r="C25" t="s">
        <v>93</v>
      </c>
      <c r="D25" s="3">
        <v>2868</v>
      </c>
      <c r="E25" t="s">
        <v>94</v>
      </c>
      <c r="F25" t="s">
        <v>30</v>
      </c>
      <c r="G25">
        <v>12</v>
      </c>
      <c r="H25" s="3">
        <f>(2868*12)</f>
        <v>34416</v>
      </c>
      <c r="I25" t="s">
        <v>30</v>
      </c>
      <c r="J25">
        <v>12</v>
      </c>
      <c r="K25" s="3">
        <f>(2868*12)</f>
        <v>34416</v>
      </c>
      <c r="L25" t="s">
        <v>30</v>
      </c>
      <c r="M25">
        <v>12</v>
      </c>
      <c r="N25" s="3">
        <f>(2868*12)</f>
        <v>34416</v>
      </c>
      <c r="O25" t="s">
        <v>30</v>
      </c>
      <c r="P25">
        <v>4</v>
      </c>
      <c r="Q25" s="3">
        <f>(2868*4)</f>
        <v>11472</v>
      </c>
      <c r="R25" t="s">
        <v>30</v>
      </c>
      <c r="S25">
        <v>0</v>
      </c>
      <c r="T25" s="3"/>
      <c r="U25" t="s">
        <v>30</v>
      </c>
      <c r="V25">
        <v>0</v>
      </c>
      <c r="W25" s="3"/>
      <c r="X25" t="s">
        <v>30</v>
      </c>
      <c r="Y25">
        <v>0</v>
      </c>
      <c r="Z25" s="3"/>
      <c r="AA25" t="s">
        <v>30</v>
      </c>
      <c r="AB25">
        <v>0</v>
      </c>
      <c r="AC25" s="3"/>
      <c r="AD25" t="s">
        <v>30</v>
      </c>
      <c r="AE25">
        <v>0</v>
      </c>
      <c r="AF25" s="3"/>
      <c r="AG25" t="s">
        <v>30</v>
      </c>
      <c r="AH25">
        <v>0</v>
      </c>
      <c r="AI25" s="3"/>
    </row>
    <row r="26" spans="1:35" ht="15" x14ac:dyDescent="0.25">
      <c r="A26" t="s">
        <v>95</v>
      </c>
      <c r="B26" t="s">
        <v>96</v>
      </c>
      <c r="C26" t="s">
        <v>97</v>
      </c>
      <c r="D26" s="3">
        <v>1107.3499999999999</v>
      </c>
      <c r="E26" t="s">
        <v>98</v>
      </c>
      <c r="F26" t="s">
        <v>30</v>
      </c>
      <c r="G26">
        <v>12</v>
      </c>
      <c r="H26" s="3">
        <f>(1035.15*12)</f>
        <v>12421.800000000001</v>
      </c>
      <c r="I26" t="s">
        <v>30</v>
      </c>
      <c r="J26">
        <v>10</v>
      </c>
      <c r="K26" s="3">
        <f>(1035.15*10)</f>
        <v>10351.5</v>
      </c>
      <c r="L26" t="s">
        <v>30</v>
      </c>
      <c r="M26">
        <v>0</v>
      </c>
      <c r="N26" s="3"/>
      <c r="O26" t="s">
        <v>30</v>
      </c>
      <c r="P26">
        <v>0</v>
      </c>
      <c r="Q26" s="3"/>
      <c r="R26" t="s">
        <v>30</v>
      </c>
      <c r="S26">
        <v>0</v>
      </c>
      <c r="T26" s="3"/>
      <c r="U26" t="s">
        <v>30</v>
      </c>
      <c r="V26">
        <v>0</v>
      </c>
      <c r="W26" s="3"/>
      <c r="X26" t="s">
        <v>30</v>
      </c>
      <c r="Y26">
        <v>0</v>
      </c>
      <c r="Z26" s="3"/>
      <c r="AA26" t="s">
        <v>30</v>
      </c>
      <c r="AB26">
        <v>0</v>
      </c>
      <c r="AC26" s="3"/>
      <c r="AD26" t="s">
        <v>30</v>
      </c>
      <c r="AE26">
        <v>0</v>
      </c>
      <c r="AF26" s="3"/>
      <c r="AG26" t="s">
        <v>30</v>
      </c>
      <c r="AH26">
        <v>0</v>
      </c>
      <c r="AI26" s="3"/>
    </row>
    <row r="27" spans="1:35" ht="15" x14ac:dyDescent="0.25">
      <c r="A27" t="s">
        <v>99</v>
      </c>
      <c r="B27" t="s">
        <v>100</v>
      </c>
      <c r="C27" t="s">
        <v>101</v>
      </c>
      <c r="D27" s="3">
        <v>1165.33</v>
      </c>
      <c r="E27" t="s">
        <v>18</v>
      </c>
      <c r="F27" t="s">
        <v>30</v>
      </c>
      <c r="G27">
        <v>12</v>
      </c>
      <c r="H27" s="3">
        <f>(1165.33*12)</f>
        <v>13983.96</v>
      </c>
      <c r="I27" t="s">
        <v>30</v>
      </c>
      <c r="J27">
        <v>12</v>
      </c>
      <c r="K27" s="3">
        <f>(1200*12)</f>
        <v>14400</v>
      </c>
      <c r="L27" t="s">
        <v>30</v>
      </c>
      <c r="M27">
        <v>0</v>
      </c>
      <c r="N27" s="3"/>
      <c r="O27" t="s">
        <v>30</v>
      </c>
      <c r="P27">
        <v>0</v>
      </c>
      <c r="Q27" s="3"/>
      <c r="R27" t="s">
        <v>30</v>
      </c>
      <c r="S27">
        <v>0</v>
      </c>
      <c r="T27" s="3"/>
      <c r="U27" t="s">
        <v>30</v>
      </c>
      <c r="V27">
        <v>0</v>
      </c>
      <c r="W27" s="3"/>
      <c r="X27" t="s">
        <v>30</v>
      </c>
      <c r="Y27">
        <v>0</v>
      </c>
      <c r="Z27" s="3"/>
      <c r="AA27" t="s">
        <v>30</v>
      </c>
      <c r="AB27">
        <v>0</v>
      </c>
      <c r="AC27" s="3"/>
      <c r="AD27" t="s">
        <v>30</v>
      </c>
      <c r="AE27">
        <v>0</v>
      </c>
      <c r="AF27" s="3"/>
      <c r="AG27" t="s">
        <v>30</v>
      </c>
      <c r="AH27">
        <v>0</v>
      </c>
      <c r="AI27" s="3"/>
    </row>
    <row r="28" spans="1:35" ht="15" x14ac:dyDescent="0.25">
      <c r="A28" t="s">
        <v>102</v>
      </c>
      <c r="B28" t="s">
        <v>103</v>
      </c>
      <c r="C28" t="s">
        <v>104</v>
      </c>
      <c r="D28" s="3">
        <v>1469.73</v>
      </c>
      <c r="E28" t="s">
        <v>105</v>
      </c>
      <c r="F28" t="s">
        <v>30</v>
      </c>
      <c r="G28">
        <v>9</v>
      </c>
      <c r="H28" s="3">
        <f>(1469.73*9)</f>
        <v>13227.57</v>
      </c>
      <c r="I28" t="s">
        <v>30</v>
      </c>
      <c r="J28">
        <v>0</v>
      </c>
      <c r="K28" s="3"/>
      <c r="L28" t="s">
        <v>30</v>
      </c>
      <c r="M28">
        <v>0</v>
      </c>
      <c r="N28" s="3"/>
      <c r="O28" t="s">
        <v>30</v>
      </c>
      <c r="P28">
        <v>0</v>
      </c>
      <c r="Q28" s="3"/>
      <c r="R28" t="s">
        <v>30</v>
      </c>
      <c r="S28">
        <v>0</v>
      </c>
      <c r="T28" s="3"/>
      <c r="U28" t="s">
        <v>30</v>
      </c>
      <c r="V28">
        <v>0</v>
      </c>
      <c r="W28" s="3"/>
      <c r="X28" t="s">
        <v>30</v>
      </c>
      <c r="Y28">
        <v>0</v>
      </c>
      <c r="Z28" s="3"/>
      <c r="AA28" t="s">
        <v>30</v>
      </c>
      <c r="AB28">
        <v>0</v>
      </c>
      <c r="AC28" s="3"/>
      <c r="AD28" t="s">
        <v>30</v>
      </c>
      <c r="AE28">
        <v>0</v>
      </c>
      <c r="AF28" s="3"/>
      <c r="AG28" t="s">
        <v>30</v>
      </c>
      <c r="AH28">
        <v>0</v>
      </c>
      <c r="AI28" s="3"/>
    </row>
    <row r="29" spans="1:35" ht="15" x14ac:dyDescent="0.25">
      <c r="A29" t="s">
        <v>106</v>
      </c>
      <c r="B29" t="s">
        <v>107</v>
      </c>
      <c r="C29" t="s">
        <v>108</v>
      </c>
      <c r="D29" s="3">
        <v>1654.79</v>
      </c>
      <c r="E29" t="s">
        <v>109</v>
      </c>
      <c r="F29" t="s">
        <v>30</v>
      </c>
      <c r="G29">
        <v>7</v>
      </c>
      <c r="H29" s="3">
        <f>(1654.79*7)</f>
        <v>11583.529999999999</v>
      </c>
      <c r="I29" t="s">
        <v>30</v>
      </c>
      <c r="J29">
        <v>0</v>
      </c>
      <c r="K29" s="3"/>
      <c r="L29" t="s">
        <v>30</v>
      </c>
      <c r="M29">
        <v>0</v>
      </c>
      <c r="N29" s="3"/>
      <c r="O29" t="s">
        <v>30</v>
      </c>
      <c r="P29">
        <v>0</v>
      </c>
      <c r="Q29" s="3"/>
      <c r="R29" t="s">
        <v>30</v>
      </c>
      <c r="S29">
        <v>0</v>
      </c>
      <c r="T29" s="3"/>
      <c r="U29" t="s">
        <v>30</v>
      </c>
      <c r="V29">
        <v>0</v>
      </c>
      <c r="W29" s="3"/>
      <c r="X29" t="s">
        <v>30</v>
      </c>
      <c r="Y29">
        <v>0</v>
      </c>
      <c r="Z29" s="3"/>
      <c r="AA29" t="s">
        <v>30</v>
      </c>
      <c r="AB29">
        <v>0</v>
      </c>
      <c r="AC29" s="3"/>
      <c r="AD29" t="s">
        <v>30</v>
      </c>
      <c r="AE29">
        <v>0</v>
      </c>
      <c r="AF29" s="3"/>
      <c r="AG29" t="s">
        <v>30</v>
      </c>
      <c r="AH29">
        <v>0</v>
      </c>
      <c r="AI29" s="3"/>
    </row>
    <row r="30" spans="1:35" ht="15" x14ac:dyDescent="0.25">
      <c r="A30" t="s">
        <v>110</v>
      </c>
      <c r="B30" t="s">
        <v>111</v>
      </c>
      <c r="C30" t="s">
        <v>112</v>
      </c>
      <c r="D30" s="3">
        <v>19581.77</v>
      </c>
      <c r="E30" t="s">
        <v>113</v>
      </c>
      <c r="F30" t="s">
        <v>30</v>
      </c>
      <c r="G30">
        <v>11</v>
      </c>
      <c r="H30" s="3">
        <f>(19581.77*11)</f>
        <v>215399.47</v>
      </c>
      <c r="I30" t="s">
        <v>30</v>
      </c>
      <c r="J30">
        <v>0</v>
      </c>
      <c r="K30" s="3"/>
      <c r="L30" t="s">
        <v>30</v>
      </c>
      <c r="M30">
        <v>0</v>
      </c>
      <c r="N30" s="3"/>
      <c r="O30" t="s">
        <v>30</v>
      </c>
      <c r="P30">
        <v>0</v>
      </c>
      <c r="Q30" s="3"/>
      <c r="R30" t="s">
        <v>30</v>
      </c>
      <c r="S30">
        <v>0</v>
      </c>
      <c r="T30" s="3"/>
      <c r="U30" t="s">
        <v>30</v>
      </c>
      <c r="V30">
        <v>0</v>
      </c>
      <c r="W30" s="3"/>
      <c r="X30" t="s">
        <v>30</v>
      </c>
      <c r="Y30">
        <v>0</v>
      </c>
      <c r="Z30" s="3"/>
      <c r="AA30" t="s">
        <v>30</v>
      </c>
      <c r="AB30">
        <v>0</v>
      </c>
      <c r="AC30" s="3"/>
      <c r="AD30" t="s">
        <v>30</v>
      </c>
      <c r="AE30">
        <v>0</v>
      </c>
      <c r="AF30" s="3"/>
      <c r="AG30" t="s">
        <v>30</v>
      </c>
      <c r="AH30">
        <v>0</v>
      </c>
      <c r="AI30" s="3"/>
    </row>
    <row r="31" spans="1:35" ht="15" x14ac:dyDescent="0.25">
      <c r="A31" t="s">
        <v>114</v>
      </c>
      <c r="B31" t="s">
        <v>115</v>
      </c>
      <c r="C31" t="s">
        <v>116</v>
      </c>
      <c r="D31" s="3">
        <v>1234.8800000000001</v>
      </c>
      <c r="E31" t="s">
        <v>117</v>
      </c>
      <c r="F31" t="s">
        <v>30</v>
      </c>
      <c r="G31">
        <v>12</v>
      </c>
      <c r="H31" s="3">
        <f>(0*4)+(1234.88*8)</f>
        <v>9879.0400000000009</v>
      </c>
      <c r="I31" t="s">
        <v>30</v>
      </c>
      <c r="J31">
        <v>12</v>
      </c>
      <c r="K31" s="3">
        <f>(1234.88*12)</f>
        <v>14818.560000000001</v>
      </c>
      <c r="L31" t="s">
        <v>30</v>
      </c>
      <c r="M31">
        <v>12</v>
      </c>
      <c r="N31" s="3">
        <f>(1234.88*12)</f>
        <v>14818.560000000001</v>
      </c>
      <c r="O31" t="s">
        <v>30</v>
      </c>
      <c r="P31">
        <v>12</v>
      </c>
      <c r="Q31" s="3">
        <f>(1234.88*12)</f>
        <v>14818.560000000001</v>
      </c>
      <c r="R31" t="s">
        <v>30</v>
      </c>
      <c r="S31">
        <v>12</v>
      </c>
      <c r="T31" s="3">
        <f>(1234.88*12)</f>
        <v>14818.560000000001</v>
      </c>
      <c r="U31" t="s">
        <v>30</v>
      </c>
      <c r="V31">
        <v>12</v>
      </c>
      <c r="W31" s="3">
        <f>(1234.88*12)</f>
        <v>14818.560000000001</v>
      </c>
      <c r="X31" t="s">
        <v>30</v>
      </c>
      <c r="Y31">
        <v>60</v>
      </c>
      <c r="Z31" s="3">
        <f>(1234.88*60)</f>
        <v>74092.800000000003</v>
      </c>
      <c r="AA31" t="s">
        <v>30</v>
      </c>
      <c r="AB31">
        <v>60</v>
      </c>
      <c r="AC31" s="3">
        <f>(1234.88*60)</f>
        <v>74092.800000000003</v>
      </c>
      <c r="AD31" t="s">
        <v>30</v>
      </c>
      <c r="AE31">
        <v>60</v>
      </c>
      <c r="AF31" s="3">
        <f>(1234.88*60)</f>
        <v>74092.800000000003</v>
      </c>
      <c r="AG31" t="s">
        <v>30</v>
      </c>
      <c r="AH31">
        <v>4</v>
      </c>
      <c r="AI31" s="3">
        <f>(1234.88*4)</f>
        <v>4939.5200000000004</v>
      </c>
    </row>
    <row r="32" spans="1:35" ht="15" x14ac:dyDescent="0.25">
      <c r="A32" t="s">
        <v>118</v>
      </c>
      <c r="B32" t="s">
        <v>119</v>
      </c>
      <c r="C32" t="s">
        <v>120</v>
      </c>
      <c r="D32" s="3">
        <v>950</v>
      </c>
      <c r="E32" t="s">
        <v>121</v>
      </c>
      <c r="F32" t="s">
        <v>30</v>
      </c>
      <c r="G32">
        <v>12</v>
      </c>
      <c r="H32" s="3">
        <f>(0*4)+(950*8)</f>
        <v>7600</v>
      </c>
      <c r="I32" t="s">
        <v>30</v>
      </c>
      <c r="J32">
        <v>4</v>
      </c>
      <c r="K32" s="3">
        <f>(950*4)</f>
        <v>3800</v>
      </c>
      <c r="L32" t="s">
        <v>30</v>
      </c>
      <c r="M32">
        <v>0</v>
      </c>
      <c r="N32" s="3"/>
      <c r="O32" t="s">
        <v>30</v>
      </c>
      <c r="P32">
        <v>0</v>
      </c>
      <c r="Q32" s="3"/>
      <c r="R32" t="s">
        <v>30</v>
      </c>
      <c r="S32">
        <v>0</v>
      </c>
      <c r="T32" s="3"/>
      <c r="U32" t="s">
        <v>30</v>
      </c>
      <c r="V32">
        <v>0</v>
      </c>
      <c r="W32" s="3"/>
      <c r="X32" t="s">
        <v>30</v>
      </c>
      <c r="Y32">
        <v>0</v>
      </c>
      <c r="Z32" s="3"/>
      <c r="AA32" t="s">
        <v>30</v>
      </c>
      <c r="AB32">
        <v>0</v>
      </c>
      <c r="AC32" s="3"/>
      <c r="AD32" t="s">
        <v>30</v>
      </c>
      <c r="AE32">
        <v>0</v>
      </c>
      <c r="AF32" s="3"/>
      <c r="AG32" t="s">
        <v>30</v>
      </c>
      <c r="AH32">
        <v>0</v>
      </c>
      <c r="AI32" s="3"/>
    </row>
    <row r="33" spans="1:35" ht="15" x14ac:dyDescent="0.25">
      <c r="A33" t="s">
        <v>122</v>
      </c>
      <c r="B33" t="s">
        <v>123</v>
      </c>
      <c r="C33" t="s">
        <v>124</v>
      </c>
      <c r="D33" s="3">
        <v>975</v>
      </c>
      <c r="E33" t="s">
        <v>125</v>
      </c>
      <c r="F33" t="s">
        <v>30</v>
      </c>
      <c r="G33">
        <v>12</v>
      </c>
      <c r="H33" s="3">
        <f>(925*5)+(975*7)</f>
        <v>11450</v>
      </c>
      <c r="I33" t="s">
        <v>30</v>
      </c>
      <c r="J33">
        <v>5</v>
      </c>
      <c r="K33" s="3">
        <f>(975*5)</f>
        <v>4875</v>
      </c>
      <c r="L33" t="s">
        <v>30</v>
      </c>
      <c r="M33">
        <v>0</v>
      </c>
      <c r="N33" s="3"/>
      <c r="O33" t="s">
        <v>30</v>
      </c>
      <c r="P33">
        <v>0</v>
      </c>
      <c r="Q33" s="3"/>
      <c r="R33" t="s">
        <v>30</v>
      </c>
      <c r="S33">
        <v>0</v>
      </c>
      <c r="T33" s="3"/>
      <c r="U33" t="s">
        <v>30</v>
      </c>
      <c r="V33">
        <v>0</v>
      </c>
      <c r="W33" s="3"/>
      <c r="X33" t="s">
        <v>30</v>
      </c>
      <c r="Y33">
        <v>0</v>
      </c>
      <c r="Z33" s="3"/>
      <c r="AA33" t="s">
        <v>30</v>
      </c>
      <c r="AB33">
        <v>0</v>
      </c>
      <c r="AC33" s="3"/>
      <c r="AD33" t="s">
        <v>30</v>
      </c>
      <c r="AE33">
        <v>0</v>
      </c>
      <c r="AF33" s="3"/>
      <c r="AG33" t="s">
        <v>30</v>
      </c>
      <c r="AH33">
        <v>0</v>
      </c>
      <c r="AI33" s="3"/>
    </row>
    <row r="34" spans="1:35" ht="15" x14ac:dyDescent="0.25">
      <c r="A34" t="s">
        <v>126</v>
      </c>
      <c r="B34" t="s">
        <v>127</v>
      </c>
      <c r="C34" t="s">
        <v>128</v>
      </c>
      <c r="D34" s="3">
        <v>950</v>
      </c>
      <c r="E34" t="s">
        <v>129</v>
      </c>
      <c r="F34" t="s">
        <v>30</v>
      </c>
      <c r="G34">
        <v>12</v>
      </c>
      <c r="H34" s="3">
        <f>(925*3)+(950*9)</f>
        <v>11325</v>
      </c>
      <c r="I34" t="s">
        <v>30</v>
      </c>
      <c r="J34">
        <v>3</v>
      </c>
      <c r="K34" s="3">
        <f>(950*3)</f>
        <v>2850</v>
      </c>
      <c r="L34" t="s">
        <v>30</v>
      </c>
      <c r="M34">
        <v>0</v>
      </c>
      <c r="N34" s="3"/>
      <c r="O34" t="s">
        <v>30</v>
      </c>
      <c r="P34">
        <v>0</v>
      </c>
      <c r="Q34" s="3"/>
      <c r="R34" t="s">
        <v>30</v>
      </c>
      <c r="S34">
        <v>0</v>
      </c>
      <c r="T34" s="3"/>
      <c r="U34" t="s">
        <v>30</v>
      </c>
      <c r="V34">
        <v>0</v>
      </c>
      <c r="W34" s="3"/>
      <c r="X34" t="s">
        <v>30</v>
      </c>
      <c r="Y34">
        <v>0</v>
      </c>
      <c r="Z34" s="3"/>
      <c r="AA34" t="s">
        <v>30</v>
      </c>
      <c r="AB34">
        <v>0</v>
      </c>
      <c r="AC34" s="3"/>
      <c r="AD34" t="s">
        <v>30</v>
      </c>
      <c r="AE34">
        <v>0</v>
      </c>
      <c r="AF34" s="3"/>
      <c r="AG34" t="s">
        <v>30</v>
      </c>
      <c r="AH34">
        <v>0</v>
      </c>
      <c r="AI34" s="3"/>
    </row>
    <row r="35" spans="1:35" ht="15" x14ac:dyDescent="0.25">
      <c r="A35" t="s">
        <v>130</v>
      </c>
      <c r="B35" t="s">
        <v>131</v>
      </c>
      <c r="C35" t="s">
        <v>132</v>
      </c>
      <c r="D35" s="3">
        <v>925</v>
      </c>
      <c r="E35" t="s">
        <v>129</v>
      </c>
      <c r="F35" t="s">
        <v>30</v>
      </c>
      <c r="G35">
        <v>12</v>
      </c>
      <c r="H35" s="3">
        <f>(900*3)+(925*9)</f>
        <v>11025</v>
      </c>
      <c r="I35" t="s">
        <v>30</v>
      </c>
      <c r="J35">
        <v>3</v>
      </c>
      <c r="K35" s="3">
        <f>(925*3)</f>
        <v>2775</v>
      </c>
      <c r="L35" t="s">
        <v>30</v>
      </c>
      <c r="M35">
        <v>0</v>
      </c>
      <c r="N35" s="3"/>
      <c r="O35" t="s">
        <v>30</v>
      </c>
      <c r="P35">
        <v>0</v>
      </c>
      <c r="Q35" s="3"/>
      <c r="R35" t="s">
        <v>30</v>
      </c>
      <c r="S35">
        <v>0</v>
      </c>
      <c r="T35" s="3"/>
      <c r="U35" t="s">
        <v>30</v>
      </c>
      <c r="V35">
        <v>0</v>
      </c>
      <c r="W35" s="3"/>
      <c r="X35" t="s">
        <v>30</v>
      </c>
      <c r="Y35">
        <v>0</v>
      </c>
      <c r="Z35" s="3"/>
      <c r="AA35" t="s">
        <v>30</v>
      </c>
      <c r="AB35">
        <v>0</v>
      </c>
      <c r="AC35" s="3"/>
      <c r="AD35" t="s">
        <v>30</v>
      </c>
      <c r="AE35">
        <v>0</v>
      </c>
      <c r="AF35" s="3"/>
      <c r="AG35" t="s">
        <v>30</v>
      </c>
      <c r="AH35">
        <v>0</v>
      </c>
      <c r="AI35" s="3"/>
    </row>
    <row r="36" spans="1:35" ht="15" x14ac:dyDescent="0.25">
      <c r="A36" t="s">
        <v>133</v>
      </c>
      <c r="B36" t="s">
        <v>134</v>
      </c>
      <c r="C36" t="s">
        <v>135</v>
      </c>
      <c r="D36" s="3">
        <v>950</v>
      </c>
      <c r="E36" t="s">
        <v>136</v>
      </c>
      <c r="F36" t="s">
        <v>30</v>
      </c>
      <c r="G36">
        <v>8</v>
      </c>
      <c r="H36" s="3">
        <f>(950*8)</f>
        <v>7600</v>
      </c>
      <c r="I36" t="s">
        <v>30</v>
      </c>
      <c r="J36">
        <v>0</v>
      </c>
      <c r="K36" s="3"/>
      <c r="L36" t="s">
        <v>30</v>
      </c>
      <c r="M36">
        <v>0</v>
      </c>
      <c r="N36" s="3"/>
      <c r="O36" t="s">
        <v>30</v>
      </c>
      <c r="P36">
        <v>0</v>
      </c>
      <c r="Q36" s="3"/>
      <c r="R36" t="s">
        <v>30</v>
      </c>
      <c r="S36">
        <v>0</v>
      </c>
      <c r="T36" s="3"/>
      <c r="U36" t="s">
        <v>30</v>
      </c>
      <c r="V36">
        <v>0</v>
      </c>
      <c r="W36" s="3"/>
      <c r="X36" t="s">
        <v>30</v>
      </c>
      <c r="Y36">
        <v>0</v>
      </c>
      <c r="Z36" s="3"/>
      <c r="AA36" t="s">
        <v>30</v>
      </c>
      <c r="AB36">
        <v>0</v>
      </c>
      <c r="AC36" s="3"/>
      <c r="AD36" t="s">
        <v>30</v>
      </c>
      <c r="AE36">
        <v>0</v>
      </c>
      <c r="AF36" s="3"/>
      <c r="AG36" t="s">
        <v>30</v>
      </c>
      <c r="AH36">
        <v>0</v>
      </c>
      <c r="AI36" s="3"/>
    </row>
    <row r="37" spans="1:35" ht="15" x14ac:dyDescent="0.25">
      <c r="A37" t="s">
        <v>137</v>
      </c>
      <c r="B37" t="s">
        <v>138</v>
      </c>
      <c r="C37" t="s">
        <v>139</v>
      </c>
      <c r="D37" s="3">
        <v>950</v>
      </c>
      <c r="E37" t="s">
        <v>136</v>
      </c>
      <c r="F37" t="s">
        <v>30</v>
      </c>
      <c r="G37">
        <v>8</v>
      </c>
      <c r="H37" s="3">
        <f>(950*8)</f>
        <v>7600</v>
      </c>
      <c r="I37" t="s">
        <v>30</v>
      </c>
      <c r="J37">
        <v>0</v>
      </c>
      <c r="K37" s="3"/>
      <c r="L37" t="s">
        <v>30</v>
      </c>
      <c r="M37">
        <v>0</v>
      </c>
      <c r="N37" s="3"/>
      <c r="O37" t="s">
        <v>30</v>
      </c>
      <c r="P37">
        <v>0</v>
      </c>
      <c r="Q37" s="3"/>
      <c r="R37" t="s">
        <v>30</v>
      </c>
      <c r="S37">
        <v>0</v>
      </c>
      <c r="T37" s="3"/>
      <c r="U37" t="s">
        <v>30</v>
      </c>
      <c r="V37">
        <v>0</v>
      </c>
      <c r="W37" s="3"/>
      <c r="X37" t="s">
        <v>30</v>
      </c>
      <c r="Y37">
        <v>0</v>
      </c>
      <c r="Z37" s="3"/>
      <c r="AA37" t="s">
        <v>30</v>
      </c>
      <c r="AB37">
        <v>0</v>
      </c>
      <c r="AC37" s="3"/>
      <c r="AD37" t="s">
        <v>30</v>
      </c>
      <c r="AE37">
        <v>0</v>
      </c>
      <c r="AF37" s="3"/>
      <c r="AG37" t="s">
        <v>30</v>
      </c>
      <c r="AH37">
        <v>0</v>
      </c>
      <c r="AI37" s="3"/>
    </row>
    <row r="38" spans="1:35" ht="15" x14ac:dyDescent="0.25">
      <c r="A38" t="s">
        <v>140</v>
      </c>
      <c r="B38" t="s">
        <v>141</v>
      </c>
      <c r="C38" t="s">
        <v>142</v>
      </c>
      <c r="D38" s="3">
        <v>8387.5</v>
      </c>
      <c r="E38" t="s">
        <v>113</v>
      </c>
      <c r="F38" t="s">
        <v>30</v>
      </c>
      <c r="G38">
        <v>11</v>
      </c>
      <c r="H38" s="3">
        <f>(8387.5*11)</f>
        <v>92262.5</v>
      </c>
      <c r="I38" t="s">
        <v>30</v>
      </c>
      <c r="J38">
        <v>0</v>
      </c>
      <c r="K38" s="3"/>
      <c r="L38" t="s">
        <v>30</v>
      </c>
      <c r="M38">
        <v>0</v>
      </c>
      <c r="N38" s="3"/>
      <c r="O38" t="s">
        <v>30</v>
      </c>
      <c r="P38">
        <v>0</v>
      </c>
      <c r="Q38" s="3"/>
      <c r="R38" t="s">
        <v>30</v>
      </c>
      <c r="S38">
        <v>0</v>
      </c>
      <c r="T38" s="3"/>
      <c r="U38" t="s">
        <v>30</v>
      </c>
      <c r="V38">
        <v>0</v>
      </c>
      <c r="W38" s="3"/>
      <c r="X38" t="s">
        <v>30</v>
      </c>
      <c r="Y38">
        <v>0</v>
      </c>
      <c r="Z38" s="3"/>
      <c r="AA38" t="s">
        <v>30</v>
      </c>
      <c r="AB38">
        <v>0</v>
      </c>
      <c r="AC38" s="3"/>
      <c r="AD38" t="s">
        <v>30</v>
      </c>
      <c r="AE38">
        <v>0</v>
      </c>
      <c r="AF38" s="3"/>
      <c r="AG38" t="s">
        <v>30</v>
      </c>
      <c r="AH38">
        <v>0</v>
      </c>
      <c r="AI38" s="3"/>
    </row>
    <row r="39" spans="1:35" ht="15" x14ac:dyDescent="0.25">
      <c r="A39" t="s">
        <v>143</v>
      </c>
      <c r="B39" t="s">
        <v>144</v>
      </c>
      <c r="C39" t="s">
        <v>145</v>
      </c>
      <c r="D39" s="3">
        <v>368.08</v>
      </c>
      <c r="E39" t="s">
        <v>21</v>
      </c>
      <c r="F39" t="s">
        <v>30</v>
      </c>
      <c r="G39">
        <v>12</v>
      </c>
      <c r="H39" s="3">
        <f>(368.08*12)</f>
        <v>4416.96</v>
      </c>
      <c r="I39" t="s">
        <v>30</v>
      </c>
      <c r="J39">
        <v>12</v>
      </c>
      <c r="K39" s="3">
        <f>(368.08*12)</f>
        <v>4416.96</v>
      </c>
      <c r="L39" t="s">
        <v>30</v>
      </c>
      <c r="M39">
        <v>12</v>
      </c>
      <c r="N39" s="3">
        <f>(368.08*12)</f>
        <v>4416.96</v>
      </c>
      <c r="O39" t="s">
        <v>30</v>
      </c>
      <c r="P39">
        <v>12</v>
      </c>
      <c r="Q39" s="3">
        <f>(368.08*12)</f>
        <v>4416.96</v>
      </c>
      <c r="R39" t="s">
        <v>30</v>
      </c>
      <c r="S39">
        <v>12</v>
      </c>
      <c r="T39" s="3">
        <f>(368.08*12)</f>
        <v>4416.96</v>
      </c>
      <c r="U39" t="s">
        <v>30</v>
      </c>
      <c r="V39">
        <v>0</v>
      </c>
      <c r="W39" s="3"/>
      <c r="X39" t="s">
        <v>30</v>
      </c>
      <c r="Y39">
        <v>0</v>
      </c>
      <c r="Z39" s="3"/>
      <c r="AA39" t="s">
        <v>30</v>
      </c>
      <c r="AB39">
        <v>0</v>
      </c>
      <c r="AC39" s="3"/>
      <c r="AD39" t="s">
        <v>30</v>
      </c>
      <c r="AE39">
        <v>0</v>
      </c>
      <c r="AF39" s="3"/>
      <c r="AG39" t="s">
        <v>30</v>
      </c>
      <c r="AH39">
        <v>0</v>
      </c>
      <c r="AI39" s="3"/>
    </row>
    <row r="40" spans="1:35" ht="15" x14ac:dyDescent="0.25">
      <c r="A40" t="s">
        <v>146</v>
      </c>
      <c r="B40" t="s">
        <v>147</v>
      </c>
      <c r="C40" t="s">
        <v>148</v>
      </c>
      <c r="D40" s="3">
        <v>464.1</v>
      </c>
      <c r="E40" t="s">
        <v>121</v>
      </c>
      <c r="F40" t="s">
        <v>30</v>
      </c>
      <c r="G40">
        <v>12</v>
      </c>
      <c r="H40" s="3">
        <f>(450.88*4)+(464.1*8)</f>
        <v>5516.32</v>
      </c>
      <c r="I40" t="s">
        <v>30</v>
      </c>
      <c r="J40">
        <v>4</v>
      </c>
      <c r="K40" s="3">
        <f>(464.1*4)</f>
        <v>1856.4</v>
      </c>
      <c r="L40" t="s">
        <v>30</v>
      </c>
      <c r="M40">
        <v>0</v>
      </c>
      <c r="N40" s="3"/>
      <c r="O40" t="s">
        <v>30</v>
      </c>
      <c r="P40">
        <v>0</v>
      </c>
      <c r="Q40" s="3"/>
      <c r="R40" t="s">
        <v>30</v>
      </c>
      <c r="S40">
        <v>0</v>
      </c>
      <c r="T40" s="3"/>
      <c r="U40" t="s">
        <v>30</v>
      </c>
      <c r="V40">
        <v>0</v>
      </c>
      <c r="W40" s="3"/>
      <c r="X40" t="s">
        <v>30</v>
      </c>
      <c r="Y40">
        <v>0</v>
      </c>
      <c r="Z40" s="3"/>
      <c r="AA40" t="s">
        <v>30</v>
      </c>
      <c r="AB40">
        <v>0</v>
      </c>
      <c r="AC40" s="3"/>
      <c r="AD40" t="s">
        <v>30</v>
      </c>
      <c r="AE40">
        <v>0</v>
      </c>
      <c r="AF40" s="3"/>
      <c r="AG40" t="s">
        <v>30</v>
      </c>
      <c r="AH40">
        <v>0</v>
      </c>
      <c r="AI40" s="3"/>
    </row>
    <row r="41" spans="1:35" ht="15" x14ac:dyDescent="0.25">
      <c r="A41" t="s">
        <v>149</v>
      </c>
      <c r="B41" t="s">
        <v>150</v>
      </c>
      <c r="C41" t="s">
        <v>151</v>
      </c>
      <c r="D41" s="3">
        <v>3105.9</v>
      </c>
      <c r="E41" t="s">
        <v>152</v>
      </c>
      <c r="F41" t="s">
        <v>30</v>
      </c>
      <c r="G41">
        <v>12</v>
      </c>
      <c r="H41" s="3">
        <f>(3017.93*2)+(3105.9*10)</f>
        <v>37094.86</v>
      </c>
      <c r="I41" t="s">
        <v>30</v>
      </c>
      <c r="J41">
        <v>2</v>
      </c>
      <c r="K41" s="3">
        <f>(3105.9*2)</f>
        <v>6211.8</v>
      </c>
      <c r="L41" t="s">
        <v>30</v>
      </c>
      <c r="M41">
        <v>0</v>
      </c>
      <c r="N41" s="3"/>
      <c r="O41" t="s">
        <v>30</v>
      </c>
      <c r="P41">
        <v>0</v>
      </c>
      <c r="Q41" s="3"/>
      <c r="R41" t="s">
        <v>30</v>
      </c>
      <c r="S41">
        <v>0</v>
      </c>
      <c r="T41" s="3"/>
      <c r="U41" t="s">
        <v>30</v>
      </c>
      <c r="V41">
        <v>0</v>
      </c>
      <c r="W41" s="3"/>
      <c r="X41" t="s">
        <v>30</v>
      </c>
      <c r="Y41">
        <v>0</v>
      </c>
      <c r="Z41" s="3"/>
      <c r="AA41" t="s">
        <v>30</v>
      </c>
      <c r="AB41">
        <v>0</v>
      </c>
      <c r="AC41" s="3"/>
      <c r="AD41" t="s">
        <v>30</v>
      </c>
      <c r="AE41">
        <v>0</v>
      </c>
      <c r="AF41" s="3"/>
      <c r="AG41" t="s">
        <v>30</v>
      </c>
      <c r="AH41">
        <v>0</v>
      </c>
      <c r="AI41" s="3"/>
    </row>
    <row r="42" spans="1:35" ht="15" x14ac:dyDescent="0.25">
      <c r="A42" t="s">
        <v>153</v>
      </c>
      <c r="B42" t="s">
        <v>154</v>
      </c>
      <c r="C42" t="s">
        <v>155</v>
      </c>
      <c r="D42" s="3">
        <v>3164.5</v>
      </c>
      <c r="E42" t="s">
        <v>156</v>
      </c>
      <c r="F42" t="s">
        <v>30</v>
      </c>
      <c r="G42">
        <v>12</v>
      </c>
      <c r="H42" s="3">
        <f>(3093.06*4)+(3164.5*8)</f>
        <v>37688.239999999998</v>
      </c>
      <c r="I42" t="s">
        <v>30</v>
      </c>
      <c r="J42">
        <v>4</v>
      </c>
      <c r="K42" s="3">
        <f>(3164.5*4)</f>
        <v>12658</v>
      </c>
      <c r="L42" t="s">
        <v>30</v>
      </c>
      <c r="M42">
        <v>0</v>
      </c>
      <c r="N42" s="3"/>
      <c r="O42" t="s">
        <v>30</v>
      </c>
      <c r="P42">
        <v>0</v>
      </c>
      <c r="Q42" s="3"/>
      <c r="R42" t="s">
        <v>30</v>
      </c>
      <c r="S42">
        <v>0</v>
      </c>
      <c r="T42" s="3"/>
      <c r="U42" t="s">
        <v>30</v>
      </c>
      <c r="V42">
        <v>0</v>
      </c>
      <c r="W42" s="3"/>
      <c r="X42" t="s">
        <v>30</v>
      </c>
      <c r="Y42">
        <v>0</v>
      </c>
      <c r="Z42" s="3"/>
      <c r="AA42" t="s">
        <v>30</v>
      </c>
      <c r="AB42">
        <v>0</v>
      </c>
      <c r="AC42" s="3"/>
      <c r="AD42" t="s">
        <v>30</v>
      </c>
      <c r="AE42">
        <v>0</v>
      </c>
      <c r="AF42" s="3"/>
      <c r="AG42" t="s">
        <v>30</v>
      </c>
      <c r="AH42">
        <v>0</v>
      </c>
      <c r="AI42" s="3"/>
    </row>
    <row r="43" spans="1:35" ht="15" x14ac:dyDescent="0.25">
      <c r="A43" t="s">
        <v>157</v>
      </c>
      <c r="B43" t="s">
        <v>158</v>
      </c>
      <c r="C43" t="s">
        <v>159</v>
      </c>
      <c r="D43" s="3">
        <v>11959.26</v>
      </c>
      <c r="E43" t="s">
        <v>160</v>
      </c>
      <c r="F43" t="s">
        <v>30</v>
      </c>
      <c r="G43">
        <v>12</v>
      </c>
      <c r="H43" s="3">
        <f>(11589.17*6)+(11959.26*6)</f>
        <v>141290.58000000002</v>
      </c>
      <c r="I43" t="s">
        <v>30</v>
      </c>
      <c r="J43">
        <v>6</v>
      </c>
      <c r="K43" s="3">
        <f>(11959.26*6)</f>
        <v>71755.56</v>
      </c>
      <c r="L43" t="s">
        <v>30</v>
      </c>
      <c r="M43">
        <v>0</v>
      </c>
      <c r="N43" s="3"/>
      <c r="O43" t="s">
        <v>30</v>
      </c>
      <c r="P43">
        <v>0</v>
      </c>
      <c r="Q43" s="3"/>
      <c r="R43" t="s">
        <v>30</v>
      </c>
      <c r="S43">
        <v>0</v>
      </c>
      <c r="T43" s="3"/>
      <c r="U43" t="s">
        <v>30</v>
      </c>
      <c r="V43">
        <v>0</v>
      </c>
      <c r="W43" s="3"/>
      <c r="X43" t="s">
        <v>30</v>
      </c>
      <c r="Y43">
        <v>0</v>
      </c>
      <c r="Z43" s="3"/>
      <c r="AA43" t="s">
        <v>30</v>
      </c>
      <c r="AB43">
        <v>0</v>
      </c>
      <c r="AC43" s="3"/>
      <c r="AD43" t="s">
        <v>30</v>
      </c>
      <c r="AE43">
        <v>0</v>
      </c>
      <c r="AF43" s="3"/>
      <c r="AG43" t="s">
        <v>30</v>
      </c>
      <c r="AH43">
        <v>0</v>
      </c>
      <c r="AI43" s="3"/>
    </row>
    <row r="44" spans="1:35" ht="15" x14ac:dyDescent="0.25">
      <c r="A44" t="s">
        <v>161</v>
      </c>
      <c r="B44" t="s">
        <v>162</v>
      </c>
      <c r="C44" t="s">
        <v>163</v>
      </c>
      <c r="D44" s="3">
        <v>267.5</v>
      </c>
      <c r="E44" t="s">
        <v>164</v>
      </c>
      <c r="F44" t="s">
        <v>30</v>
      </c>
      <c r="G44">
        <v>0</v>
      </c>
      <c r="H44" s="3"/>
      <c r="I44" t="s">
        <v>30</v>
      </c>
      <c r="J44">
        <v>0</v>
      </c>
      <c r="K44" s="3"/>
      <c r="L44" t="s">
        <v>30</v>
      </c>
      <c r="M44">
        <v>0</v>
      </c>
      <c r="N44" s="3"/>
      <c r="O44" t="s">
        <v>30</v>
      </c>
      <c r="P44">
        <v>0</v>
      </c>
      <c r="Q44" s="3"/>
      <c r="R44" t="s">
        <v>30</v>
      </c>
      <c r="S44">
        <v>0</v>
      </c>
      <c r="T44" s="3"/>
      <c r="U44" t="s">
        <v>30</v>
      </c>
      <c r="V44">
        <v>0</v>
      </c>
      <c r="W44" s="3"/>
      <c r="X44" t="s">
        <v>30</v>
      </c>
      <c r="Y44">
        <v>0</v>
      </c>
      <c r="Z44" s="3"/>
      <c r="AA44" t="s">
        <v>30</v>
      </c>
      <c r="AB44">
        <v>0</v>
      </c>
      <c r="AC44" s="3"/>
      <c r="AD44" t="s">
        <v>30</v>
      </c>
      <c r="AE44">
        <v>0</v>
      </c>
      <c r="AF44" s="3"/>
      <c r="AG44" t="s">
        <v>30</v>
      </c>
      <c r="AH44">
        <v>0</v>
      </c>
      <c r="AI44" s="3"/>
    </row>
    <row r="45" spans="1:35" ht="15" x14ac:dyDescent="0.25">
      <c r="A45" t="s">
        <v>165</v>
      </c>
      <c r="B45" t="s">
        <v>166</v>
      </c>
      <c r="C45" t="s">
        <v>167</v>
      </c>
      <c r="D45" s="3">
        <v>200</v>
      </c>
      <c r="E45" t="s">
        <v>168</v>
      </c>
      <c r="F45" t="s">
        <v>30</v>
      </c>
      <c r="G45">
        <v>0</v>
      </c>
      <c r="H45" s="3"/>
      <c r="I45" t="s">
        <v>30</v>
      </c>
      <c r="J45">
        <v>0</v>
      </c>
      <c r="K45" s="3"/>
      <c r="L45" t="s">
        <v>30</v>
      </c>
      <c r="M45">
        <v>0</v>
      </c>
      <c r="N45" s="3"/>
      <c r="O45" t="s">
        <v>30</v>
      </c>
      <c r="P45">
        <v>0</v>
      </c>
      <c r="Q45" s="3"/>
      <c r="R45" t="s">
        <v>30</v>
      </c>
      <c r="S45">
        <v>0</v>
      </c>
      <c r="T45" s="3"/>
      <c r="U45" t="s">
        <v>30</v>
      </c>
      <c r="V45">
        <v>0</v>
      </c>
      <c r="W45" s="3"/>
      <c r="X45" t="s">
        <v>30</v>
      </c>
      <c r="Y45">
        <v>0</v>
      </c>
      <c r="Z45" s="3"/>
      <c r="AA45" t="s">
        <v>30</v>
      </c>
      <c r="AB45">
        <v>0</v>
      </c>
      <c r="AC45" s="3"/>
      <c r="AD45" t="s">
        <v>30</v>
      </c>
      <c r="AE45">
        <v>0</v>
      </c>
      <c r="AF45" s="3"/>
      <c r="AG45" t="s">
        <v>30</v>
      </c>
      <c r="AH45">
        <v>0</v>
      </c>
      <c r="AI45" s="3"/>
    </row>
    <row r="46" spans="1:35" ht="15" x14ac:dyDescent="0.25">
      <c r="A46" t="s">
        <v>169</v>
      </c>
      <c r="B46" t="s">
        <v>170</v>
      </c>
      <c r="C46" t="s">
        <v>171</v>
      </c>
      <c r="D46" s="3">
        <v>0</v>
      </c>
      <c r="E46" t="s">
        <v>30</v>
      </c>
      <c r="F46" t="s">
        <v>30</v>
      </c>
      <c r="G46">
        <v>12</v>
      </c>
      <c r="H46" s="3">
        <f>(0*12)</f>
        <v>0</v>
      </c>
      <c r="I46" t="s">
        <v>30</v>
      </c>
      <c r="J46">
        <v>12</v>
      </c>
      <c r="K46" s="3">
        <f>(0*12)</f>
        <v>0</v>
      </c>
      <c r="L46" t="s">
        <v>30</v>
      </c>
      <c r="M46">
        <v>12</v>
      </c>
      <c r="N46" s="3">
        <f>(0*12)</f>
        <v>0</v>
      </c>
      <c r="O46" t="s">
        <v>30</v>
      </c>
      <c r="P46">
        <v>12</v>
      </c>
      <c r="Q46" s="3">
        <f>(0*12)</f>
        <v>0</v>
      </c>
      <c r="R46" t="s">
        <v>30</v>
      </c>
      <c r="S46">
        <v>12</v>
      </c>
      <c r="T46" s="3">
        <f>(0*12)</f>
        <v>0</v>
      </c>
      <c r="U46" t="s">
        <v>30</v>
      </c>
      <c r="V46">
        <v>12</v>
      </c>
      <c r="W46" s="3">
        <f>(0*12)</f>
        <v>0</v>
      </c>
      <c r="X46" t="s">
        <v>30</v>
      </c>
      <c r="Y46">
        <v>60</v>
      </c>
      <c r="Z46" s="3">
        <f>(0*60)</f>
        <v>0</v>
      </c>
      <c r="AA46" t="s">
        <v>30</v>
      </c>
      <c r="AB46">
        <v>60</v>
      </c>
      <c r="AC46" s="3">
        <f>(0*60)</f>
        <v>0</v>
      </c>
      <c r="AD46" t="s">
        <v>30</v>
      </c>
      <c r="AE46">
        <v>60</v>
      </c>
      <c r="AF46" s="3">
        <f>(0*60)</f>
        <v>0</v>
      </c>
      <c r="AG46" t="s">
        <v>30</v>
      </c>
      <c r="AH46">
        <v>60</v>
      </c>
      <c r="AI46" s="3">
        <f>(0*60)</f>
        <v>0</v>
      </c>
    </row>
    <row r="47" spans="1:35" ht="15" x14ac:dyDescent="0.25">
      <c r="A47" t="s">
        <v>172</v>
      </c>
      <c r="B47" t="s">
        <v>173</v>
      </c>
      <c r="C47" t="s">
        <v>174</v>
      </c>
      <c r="D47" s="3">
        <v>2362.5</v>
      </c>
      <c r="E47" t="s">
        <v>175</v>
      </c>
      <c r="F47" t="s">
        <v>30</v>
      </c>
      <c r="G47">
        <v>0</v>
      </c>
      <c r="H47" s="3"/>
      <c r="I47" t="s">
        <v>30</v>
      </c>
      <c r="J47">
        <v>0</v>
      </c>
      <c r="K47" s="3"/>
      <c r="L47" t="s">
        <v>30</v>
      </c>
      <c r="M47">
        <v>0</v>
      </c>
      <c r="N47" s="3"/>
      <c r="O47" t="s">
        <v>30</v>
      </c>
      <c r="P47">
        <v>0</v>
      </c>
      <c r="Q47" s="3"/>
      <c r="R47" t="s">
        <v>30</v>
      </c>
      <c r="S47">
        <v>0</v>
      </c>
      <c r="T47" s="3"/>
      <c r="U47" t="s">
        <v>30</v>
      </c>
      <c r="V47">
        <v>0</v>
      </c>
      <c r="W47" s="3"/>
      <c r="X47" t="s">
        <v>30</v>
      </c>
      <c r="Y47">
        <v>0</v>
      </c>
      <c r="Z47" s="3"/>
      <c r="AA47" t="s">
        <v>30</v>
      </c>
      <c r="AB47">
        <v>0</v>
      </c>
      <c r="AC47" s="3"/>
      <c r="AD47" t="s">
        <v>30</v>
      </c>
      <c r="AE47">
        <v>0</v>
      </c>
      <c r="AF47" s="3"/>
      <c r="AG47" t="s">
        <v>30</v>
      </c>
      <c r="AH47">
        <v>0</v>
      </c>
      <c r="AI47" s="3"/>
    </row>
    <row r="48" spans="1:35" ht="15" x14ac:dyDescent="0.25">
      <c r="A48" t="s">
        <v>176</v>
      </c>
      <c r="B48" t="s">
        <v>177</v>
      </c>
      <c r="C48" t="s">
        <v>178</v>
      </c>
      <c r="D48" s="3">
        <v>1524.25</v>
      </c>
      <c r="E48" t="s">
        <v>179</v>
      </c>
      <c r="F48" t="s">
        <v>30</v>
      </c>
      <c r="G48">
        <v>12</v>
      </c>
      <c r="H48" s="3">
        <f>(1524.25*12)</f>
        <v>18291</v>
      </c>
      <c r="I48" t="s">
        <v>30</v>
      </c>
      <c r="J48">
        <v>1</v>
      </c>
      <c r="K48" s="3">
        <f>(1524.25*1)</f>
        <v>1524.25</v>
      </c>
      <c r="L48" t="s">
        <v>30</v>
      </c>
      <c r="M48">
        <v>0</v>
      </c>
      <c r="N48" s="3"/>
      <c r="O48" t="s">
        <v>30</v>
      </c>
      <c r="P48">
        <v>0</v>
      </c>
      <c r="Q48" s="3"/>
      <c r="R48" t="s">
        <v>30</v>
      </c>
      <c r="S48">
        <v>0</v>
      </c>
      <c r="T48" s="3"/>
      <c r="U48" t="s">
        <v>30</v>
      </c>
      <c r="V48">
        <v>0</v>
      </c>
      <c r="W48" s="3"/>
      <c r="X48" t="s">
        <v>30</v>
      </c>
      <c r="Y48">
        <v>0</v>
      </c>
      <c r="Z48" s="3"/>
      <c r="AA48" t="s">
        <v>30</v>
      </c>
      <c r="AB48">
        <v>0</v>
      </c>
      <c r="AC48" s="3"/>
      <c r="AD48" t="s">
        <v>30</v>
      </c>
      <c r="AE48">
        <v>0</v>
      </c>
      <c r="AF48" s="3"/>
      <c r="AG48" t="s">
        <v>30</v>
      </c>
      <c r="AH48">
        <v>0</v>
      </c>
      <c r="AI48" s="3"/>
    </row>
    <row r="49" spans="1:35" ht="15" x14ac:dyDescent="0.25">
      <c r="A49" t="s">
        <v>180</v>
      </c>
      <c r="B49" t="s">
        <v>181</v>
      </c>
      <c r="C49" t="s">
        <v>182</v>
      </c>
      <c r="D49" s="3">
        <v>2388.75</v>
      </c>
      <c r="E49" t="s">
        <v>183</v>
      </c>
      <c r="F49" t="s">
        <v>30</v>
      </c>
      <c r="G49">
        <v>12</v>
      </c>
      <c r="H49" s="3">
        <f>(2275*5)+(2388.75*7)</f>
        <v>28096.25</v>
      </c>
      <c r="I49" t="s">
        <v>30</v>
      </c>
      <c r="J49">
        <v>5</v>
      </c>
      <c r="K49" s="3">
        <f>(2388.75*5)</f>
        <v>11943.75</v>
      </c>
      <c r="L49" t="s">
        <v>30</v>
      </c>
      <c r="M49">
        <v>0</v>
      </c>
      <c r="N49" s="3"/>
      <c r="O49" t="s">
        <v>30</v>
      </c>
      <c r="P49">
        <v>0</v>
      </c>
      <c r="Q49" s="3"/>
      <c r="R49" t="s">
        <v>30</v>
      </c>
      <c r="S49">
        <v>0</v>
      </c>
      <c r="T49" s="3"/>
      <c r="U49" t="s">
        <v>30</v>
      </c>
      <c r="V49">
        <v>0</v>
      </c>
      <c r="W49" s="3"/>
      <c r="X49" t="s">
        <v>30</v>
      </c>
      <c r="Y49">
        <v>0</v>
      </c>
      <c r="Z49" s="3"/>
      <c r="AA49" t="s">
        <v>30</v>
      </c>
      <c r="AB49">
        <v>0</v>
      </c>
      <c r="AC49" s="3"/>
      <c r="AD49" t="s">
        <v>30</v>
      </c>
      <c r="AE49">
        <v>0</v>
      </c>
      <c r="AF49" s="3"/>
      <c r="AG49" t="s">
        <v>30</v>
      </c>
      <c r="AH49">
        <v>0</v>
      </c>
      <c r="AI49" s="3"/>
    </row>
    <row r="50" spans="1:35" ht="15" x14ac:dyDescent="0.25">
      <c r="A50" t="s">
        <v>184</v>
      </c>
      <c r="B50" t="s">
        <v>185</v>
      </c>
      <c r="C50" t="s">
        <v>186</v>
      </c>
      <c r="D50" s="3">
        <v>5259.38</v>
      </c>
      <c r="E50" t="s">
        <v>187</v>
      </c>
      <c r="F50" t="s">
        <v>30</v>
      </c>
      <c r="G50">
        <v>12</v>
      </c>
      <c r="H50" s="3">
        <f>(5259.38*12)</f>
        <v>63112.56</v>
      </c>
      <c r="I50" t="s">
        <v>30</v>
      </c>
      <c r="J50">
        <v>8</v>
      </c>
      <c r="K50" s="3">
        <f>(5259.38*8)</f>
        <v>42075.040000000001</v>
      </c>
      <c r="L50" t="s">
        <v>30</v>
      </c>
      <c r="M50">
        <v>0</v>
      </c>
      <c r="N50" s="3"/>
      <c r="O50" t="s">
        <v>30</v>
      </c>
      <c r="P50">
        <v>0</v>
      </c>
      <c r="Q50" s="3"/>
      <c r="R50" t="s">
        <v>30</v>
      </c>
      <c r="S50">
        <v>0</v>
      </c>
      <c r="T50" s="3"/>
      <c r="U50" t="s">
        <v>30</v>
      </c>
      <c r="V50">
        <v>0</v>
      </c>
      <c r="W50" s="3"/>
      <c r="X50" t="s">
        <v>30</v>
      </c>
      <c r="Y50">
        <v>0</v>
      </c>
      <c r="Z50" s="3"/>
      <c r="AA50" t="s">
        <v>30</v>
      </c>
      <c r="AB50">
        <v>0</v>
      </c>
      <c r="AC50" s="3"/>
      <c r="AD50" t="s">
        <v>30</v>
      </c>
      <c r="AE50">
        <v>0</v>
      </c>
      <c r="AF50" s="3"/>
      <c r="AG50" t="s">
        <v>30</v>
      </c>
      <c r="AH50">
        <v>0</v>
      </c>
      <c r="AI50" s="3"/>
    </row>
    <row r="51" spans="1:35" ht="15" x14ac:dyDescent="0.25">
      <c r="A51" t="s">
        <v>188</v>
      </c>
      <c r="B51" t="s">
        <v>189</v>
      </c>
      <c r="C51" t="s">
        <v>190</v>
      </c>
      <c r="D51" s="3">
        <v>1041.67</v>
      </c>
      <c r="E51" t="s">
        <v>191</v>
      </c>
      <c r="F51" t="s">
        <v>30</v>
      </c>
      <c r="G51">
        <v>12</v>
      </c>
      <c r="H51" s="3">
        <f>(1041.67*12)</f>
        <v>12500.04</v>
      </c>
      <c r="I51" t="s">
        <v>30</v>
      </c>
      <c r="J51">
        <v>12</v>
      </c>
      <c r="K51" s="3">
        <f>(1041.67*12)</f>
        <v>12500.04</v>
      </c>
      <c r="L51" t="s">
        <v>30</v>
      </c>
      <c r="M51">
        <v>12</v>
      </c>
      <c r="N51" s="3">
        <f>(1041.67*12)</f>
        <v>12500.04</v>
      </c>
      <c r="O51" t="s">
        <v>30</v>
      </c>
      <c r="P51">
        <v>12</v>
      </c>
      <c r="Q51" s="3">
        <f>(1041.67*12)</f>
        <v>12500.04</v>
      </c>
      <c r="R51" t="s">
        <v>30</v>
      </c>
      <c r="S51">
        <v>12</v>
      </c>
      <c r="T51" s="3">
        <f>(1041.67*12)</f>
        <v>12500.04</v>
      </c>
      <c r="U51" t="s">
        <v>30</v>
      </c>
      <c r="V51">
        <v>12</v>
      </c>
      <c r="W51" s="3">
        <f>(1041.67*12)</f>
        <v>12500.04</v>
      </c>
      <c r="X51" t="s">
        <v>30</v>
      </c>
      <c r="Y51">
        <v>60</v>
      </c>
      <c r="Z51" s="3">
        <f>(1041.67*60)</f>
        <v>62500.200000000004</v>
      </c>
      <c r="AA51" t="s">
        <v>30</v>
      </c>
      <c r="AB51">
        <v>58</v>
      </c>
      <c r="AC51" s="3">
        <f>(1041.67*58)</f>
        <v>60416.86</v>
      </c>
      <c r="AD51" t="s">
        <v>30</v>
      </c>
      <c r="AE51">
        <v>0</v>
      </c>
      <c r="AF51" s="3"/>
      <c r="AG51" t="s">
        <v>30</v>
      </c>
      <c r="AH51">
        <v>0</v>
      </c>
      <c r="AI51" s="3"/>
    </row>
    <row r="52" spans="1:35" ht="15" x14ac:dyDescent="0.25">
      <c r="A52" t="s">
        <v>192</v>
      </c>
      <c r="B52" t="s">
        <v>193</v>
      </c>
      <c r="C52" t="s">
        <v>194</v>
      </c>
      <c r="D52" s="3">
        <v>0</v>
      </c>
      <c r="E52" t="s">
        <v>195</v>
      </c>
      <c r="F52" t="s">
        <v>30</v>
      </c>
      <c r="G52">
        <v>12</v>
      </c>
      <c r="H52" s="3">
        <f>(0*12)</f>
        <v>0</v>
      </c>
      <c r="I52" t="s">
        <v>30</v>
      </c>
      <c r="J52">
        <v>12</v>
      </c>
      <c r="K52" s="3">
        <f>(0*12)</f>
        <v>0</v>
      </c>
      <c r="L52" t="s">
        <v>30</v>
      </c>
      <c r="M52">
        <v>12</v>
      </c>
      <c r="N52" s="3">
        <f>(0*12)</f>
        <v>0</v>
      </c>
      <c r="O52" t="s">
        <v>30</v>
      </c>
      <c r="P52">
        <v>12</v>
      </c>
      <c r="Q52" s="3">
        <f>(0*12)</f>
        <v>0</v>
      </c>
      <c r="R52" t="s">
        <v>30</v>
      </c>
      <c r="S52">
        <v>12</v>
      </c>
      <c r="T52" s="3">
        <f>(0*12)</f>
        <v>0</v>
      </c>
      <c r="U52" t="s">
        <v>30</v>
      </c>
      <c r="V52">
        <v>12</v>
      </c>
      <c r="W52" s="3">
        <f>(0*12)</f>
        <v>0</v>
      </c>
      <c r="X52" t="s">
        <v>30</v>
      </c>
      <c r="Y52">
        <v>60</v>
      </c>
      <c r="Z52" s="3">
        <f>(0*60)</f>
        <v>0</v>
      </c>
      <c r="AA52" t="s">
        <v>30</v>
      </c>
      <c r="AB52">
        <v>22</v>
      </c>
      <c r="AC52" s="3">
        <f>(0*22)</f>
        <v>0</v>
      </c>
      <c r="AD52" t="s">
        <v>30</v>
      </c>
      <c r="AE52">
        <v>0</v>
      </c>
      <c r="AF52" s="3"/>
      <c r="AG52" t="s">
        <v>30</v>
      </c>
      <c r="AH52">
        <v>0</v>
      </c>
      <c r="AI52" s="3"/>
    </row>
    <row r="53" spans="1:35" ht="15" x14ac:dyDescent="0.25">
      <c r="A53" t="s">
        <v>196</v>
      </c>
      <c r="B53" t="s">
        <v>197</v>
      </c>
      <c r="C53" t="s">
        <v>198</v>
      </c>
      <c r="D53" s="3">
        <v>5407.88</v>
      </c>
      <c r="E53" t="s">
        <v>113</v>
      </c>
      <c r="F53" t="s">
        <v>30</v>
      </c>
      <c r="G53">
        <v>11</v>
      </c>
      <c r="H53" s="3">
        <f>(5407.88*11)</f>
        <v>59486.68</v>
      </c>
      <c r="I53" t="s">
        <v>30</v>
      </c>
      <c r="J53">
        <v>0</v>
      </c>
      <c r="K53" s="3"/>
      <c r="L53" t="s">
        <v>30</v>
      </c>
      <c r="M53">
        <v>0</v>
      </c>
      <c r="N53" s="3"/>
      <c r="O53" t="s">
        <v>30</v>
      </c>
      <c r="P53">
        <v>0</v>
      </c>
      <c r="Q53" s="3"/>
      <c r="R53" t="s">
        <v>30</v>
      </c>
      <c r="S53">
        <v>0</v>
      </c>
      <c r="T53" s="3"/>
      <c r="U53" t="s">
        <v>30</v>
      </c>
      <c r="V53">
        <v>0</v>
      </c>
      <c r="W53" s="3"/>
      <c r="X53" t="s">
        <v>30</v>
      </c>
      <c r="Y53">
        <v>0</v>
      </c>
      <c r="Z53" s="3"/>
      <c r="AA53" t="s">
        <v>30</v>
      </c>
      <c r="AB53">
        <v>0</v>
      </c>
      <c r="AC53" s="3"/>
      <c r="AD53" t="s">
        <v>30</v>
      </c>
      <c r="AE53">
        <v>0</v>
      </c>
      <c r="AF53" s="3"/>
      <c r="AG53" t="s">
        <v>30</v>
      </c>
      <c r="AH53">
        <v>0</v>
      </c>
      <c r="AI53" s="3"/>
    </row>
    <row r="54" spans="1:35" ht="15" x14ac:dyDescent="0.25">
      <c r="A54" t="s">
        <v>199</v>
      </c>
      <c r="B54" t="s">
        <v>200</v>
      </c>
      <c r="C54" t="s">
        <v>201</v>
      </c>
      <c r="D54" s="3">
        <v>10500.17</v>
      </c>
      <c r="E54" t="s">
        <v>18</v>
      </c>
      <c r="F54" t="s">
        <v>30</v>
      </c>
      <c r="G54">
        <v>12</v>
      </c>
      <c r="H54" s="3">
        <f>(10500.17*12)</f>
        <v>126002.04000000001</v>
      </c>
      <c r="I54" t="s">
        <v>30</v>
      </c>
      <c r="J54">
        <v>12</v>
      </c>
      <c r="K54" s="3">
        <f>(10500.17*12)</f>
        <v>126002.04000000001</v>
      </c>
      <c r="L54" t="s">
        <v>30</v>
      </c>
      <c r="M54">
        <v>0</v>
      </c>
      <c r="N54" s="3"/>
      <c r="O54" t="s">
        <v>30</v>
      </c>
      <c r="P54">
        <v>0</v>
      </c>
      <c r="Q54" s="3"/>
      <c r="R54" t="s">
        <v>30</v>
      </c>
      <c r="S54">
        <v>0</v>
      </c>
      <c r="T54" s="3"/>
      <c r="U54" t="s">
        <v>30</v>
      </c>
      <c r="V54">
        <v>0</v>
      </c>
      <c r="W54" s="3"/>
      <c r="X54" t="s">
        <v>30</v>
      </c>
      <c r="Y54">
        <v>0</v>
      </c>
      <c r="Z54" s="3"/>
      <c r="AA54" t="s">
        <v>30</v>
      </c>
      <c r="AB54">
        <v>0</v>
      </c>
      <c r="AC54" s="3"/>
      <c r="AD54" t="s">
        <v>30</v>
      </c>
      <c r="AE54">
        <v>0</v>
      </c>
      <c r="AF54" s="3"/>
      <c r="AG54" t="s">
        <v>30</v>
      </c>
      <c r="AH54">
        <v>0</v>
      </c>
      <c r="AI54" s="3"/>
    </row>
    <row r="55" spans="1:35" ht="15" x14ac:dyDescent="0.25">
      <c r="A55" t="s">
        <v>202</v>
      </c>
      <c r="B55" t="s">
        <v>203</v>
      </c>
      <c r="C55" t="s">
        <v>204</v>
      </c>
      <c r="D55" s="3">
        <v>2450</v>
      </c>
      <c r="E55" t="s">
        <v>17</v>
      </c>
      <c r="F55" t="s">
        <v>30</v>
      </c>
      <c r="G55">
        <v>12</v>
      </c>
      <c r="H55" s="3">
        <f>(2450*12)</f>
        <v>29400</v>
      </c>
      <c r="I55" t="s">
        <v>30</v>
      </c>
      <c r="J55">
        <v>0</v>
      </c>
      <c r="K55" s="3"/>
      <c r="L55" t="s">
        <v>30</v>
      </c>
      <c r="M55">
        <v>0</v>
      </c>
      <c r="N55" s="3"/>
      <c r="O55" t="s">
        <v>30</v>
      </c>
      <c r="P55">
        <v>0</v>
      </c>
      <c r="Q55" s="3"/>
      <c r="R55" t="s">
        <v>30</v>
      </c>
      <c r="S55">
        <v>0</v>
      </c>
      <c r="T55" s="3"/>
      <c r="U55" t="s">
        <v>30</v>
      </c>
      <c r="V55">
        <v>0</v>
      </c>
      <c r="W55" s="3"/>
      <c r="X55" t="s">
        <v>30</v>
      </c>
      <c r="Y55">
        <v>0</v>
      </c>
      <c r="Z55" s="3"/>
      <c r="AA55" t="s">
        <v>30</v>
      </c>
      <c r="AB55">
        <v>0</v>
      </c>
      <c r="AC55" s="3"/>
      <c r="AD55" t="s">
        <v>30</v>
      </c>
      <c r="AE55">
        <v>0</v>
      </c>
      <c r="AF55" s="3"/>
      <c r="AG55" t="s">
        <v>30</v>
      </c>
      <c r="AH55">
        <v>0</v>
      </c>
      <c r="AI55" s="3"/>
    </row>
    <row r="56" spans="1:35" ht="15" x14ac:dyDescent="0.25">
      <c r="A56" t="s">
        <v>205</v>
      </c>
      <c r="B56" t="s">
        <v>206</v>
      </c>
      <c r="C56" t="s">
        <v>207</v>
      </c>
      <c r="D56" s="3">
        <v>1894.66</v>
      </c>
      <c r="E56" t="s">
        <v>121</v>
      </c>
      <c r="F56" t="s">
        <v>30</v>
      </c>
      <c r="G56">
        <v>12</v>
      </c>
      <c r="H56" s="3">
        <f>(1837.5*4)+(1894.66*8)</f>
        <v>22507.279999999999</v>
      </c>
      <c r="I56" t="s">
        <v>30</v>
      </c>
      <c r="J56">
        <v>4</v>
      </c>
      <c r="K56" s="3">
        <f>(1894.66*4)</f>
        <v>7578.64</v>
      </c>
      <c r="L56" t="s">
        <v>30</v>
      </c>
      <c r="M56">
        <v>0</v>
      </c>
      <c r="N56" s="3"/>
      <c r="O56" t="s">
        <v>30</v>
      </c>
      <c r="P56">
        <v>0</v>
      </c>
      <c r="Q56" s="3"/>
      <c r="R56" t="s">
        <v>30</v>
      </c>
      <c r="S56">
        <v>0</v>
      </c>
      <c r="T56" s="3"/>
      <c r="U56" t="s">
        <v>30</v>
      </c>
      <c r="V56">
        <v>0</v>
      </c>
      <c r="W56" s="3"/>
      <c r="X56" t="s">
        <v>30</v>
      </c>
      <c r="Y56">
        <v>0</v>
      </c>
      <c r="Z56" s="3"/>
      <c r="AA56" t="s">
        <v>30</v>
      </c>
      <c r="AB56">
        <v>0</v>
      </c>
      <c r="AC56" s="3"/>
      <c r="AD56" t="s">
        <v>30</v>
      </c>
      <c r="AE56">
        <v>0</v>
      </c>
      <c r="AF56" s="3"/>
      <c r="AG56" t="s">
        <v>30</v>
      </c>
      <c r="AH56">
        <v>0</v>
      </c>
      <c r="AI56" s="3"/>
    </row>
    <row r="57" spans="1:35" ht="15" x14ac:dyDescent="0.25">
      <c r="A57" t="s">
        <v>208</v>
      </c>
      <c r="B57" t="s">
        <v>209</v>
      </c>
      <c r="C57" t="s">
        <v>210</v>
      </c>
      <c r="D57" s="3">
        <v>6861.57</v>
      </c>
      <c r="E57" t="s">
        <v>191</v>
      </c>
      <c r="F57" t="s">
        <v>30</v>
      </c>
      <c r="G57">
        <v>12</v>
      </c>
      <c r="H57" s="3">
        <f>(6861.57*12)</f>
        <v>82338.84</v>
      </c>
      <c r="I57" t="s">
        <v>30</v>
      </c>
      <c r="J57">
        <v>12</v>
      </c>
      <c r="K57" s="3">
        <f>(6861.57*12)</f>
        <v>82338.84</v>
      </c>
      <c r="L57" t="s">
        <v>30</v>
      </c>
      <c r="M57">
        <v>12</v>
      </c>
      <c r="N57" s="3">
        <f>(6861.57*12)</f>
        <v>82338.84</v>
      </c>
      <c r="O57" t="s">
        <v>30</v>
      </c>
      <c r="P57">
        <v>12</v>
      </c>
      <c r="Q57" s="3">
        <f>(6861.57*12)</f>
        <v>82338.84</v>
      </c>
      <c r="R57" t="s">
        <v>30</v>
      </c>
      <c r="S57">
        <v>12</v>
      </c>
      <c r="T57" s="3">
        <f>(6861.57*12)</f>
        <v>82338.84</v>
      </c>
      <c r="U57" t="s">
        <v>30</v>
      </c>
      <c r="V57">
        <v>12</v>
      </c>
      <c r="W57" s="3">
        <f>(6861.57*12)</f>
        <v>82338.84</v>
      </c>
      <c r="X57" t="s">
        <v>30</v>
      </c>
      <c r="Y57">
        <v>60</v>
      </c>
      <c r="Z57" s="3">
        <f>(6861.57*60)</f>
        <v>411694.19999999995</v>
      </c>
      <c r="AA57" t="s">
        <v>30</v>
      </c>
      <c r="AB57">
        <v>58</v>
      </c>
      <c r="AC57" s="3">
        <f>(6861.57*58)</f>
        <v>397971.06</v>
      </c>
      <c r="AD57" t="s">
        <v>30</v>
      </c>
      <c r="AE57">
        <v>0</v>
      </c>
      <c r="AF57" s="3"/>
      <c r="AG57" t="s">
        <v>30</v>
      </c>
      <c r="AH57">
        <v>0</v>
      </c>
      <c r="AI57" s="3"/>
    </row>
    <row r="58" spans="1:35" ht="15" x14ac:dyDescent="0.25">
      <c r="A58" t="s">
        <v>211</v>
      </c>
      <c r="B58" t="s">
        <v>212</v>
      </c>
      <c r="C58" t="s">
        <v>213</v>
      </c>
      <c r="D58" s="3">
        <v>10320</v>
      </c>
      <c r="E58" t="s">
        <v>214</v>
      </c>
      <c r="F58" t="s">
        <v>30</v>
      </c>
      <c r="G58">
        <v>12</v>
      </c>
      <c r="H58" s="3">
        <f>(10320*12)</f>
        <v>123840</v>
      </c>
      <c r="I58" t="s">
        <v>30</v>
      </c>
      <c r="J58">
        <v>8</v>
      </c>
      <c r="K58" s="3">
        <f>(10320*8)</f>
        <v>82560</v>
      </c>
      <c r="L58" t="s">
        <v>30</v>
      </c>
      <c r="M58">
        <v>0</v>
      </c>
      <c r="N58" s="3"/>
      <c r="O58" t="s">
        <v>30</v>
      </c>
      <c r="P58">
        <v>0</v>
      </c>
      <c r="Q58" s="3"/>
      <c r="R58" t="s">
        <v>30</v>
      </c>
      <c r="S58">
        <v>0</v>
      </c>
      <c r="T58" s="3"/>
      <c r="U58" t="s">
        <v>30</v>
      </c>
      <c r="V58">
        <v>0</v>
      </c>
      <c r="W58" s="3"/>
      <c r="X58" t="s">
        <v>30</v>
      </c>
      <c r="Y58">
        <v>0</v>
      </c>
      <c r="Z58" s="3"/>
      <c r="AA58" t="s">
        <v>30</v>
      </c>
      <c r="AB58">
        <v>0</v>
      </c>
      <c r="AC58" s="3"/>
      <c r="AD58" t="s">
        <v>30</v>
      </c>
      <c r="AE58">
        <v>0</v>
      </c>
      <c r="AF58" s="3"/>
      <c r="AG58" t="s">
        <v>30</v>
      </c>
      <c r="AH58">
        <v>0</v>
      </c>
      <c r="AI58" s="3"/>
    </row>
    <row r="59" spans="1:35" ht="15" x14ac:dyDescent="0.25">
      <c r="A59" t="s">
        <v>215</v>
      </c>
      <c r="B59" t="s">
        <v>216</v>
      </c>
      <c r="C59" t="s">
        <v>217</v>
      </c>
      <c r="D59" s="3">
        <v>1960.4</v>
      </c>
      <c r="E59" t="s">
        <v>21</v>
      </c>
      <c r="F59" t="s">
        <v>30</v>
      </c>
      <c r="G59">
        <v>12</v>
      </c>
      <c r="H59" s="3">
        <f>(1960.4*12)</f>
        <v>23524.800000000003</v>
      </c>
      <c r="I59" t="s">
        <v>30</v>
      </c>
      <c r="J59">
        <v>12</v>
      </c>
      <c r="K59" s="3">
        <f>(1960.4*12)</f>
        <v>23524.800000000003</v>
      </c>
      <c r="L59" t="s">
        <v>30</v>
      </c>
      <c r="M59">
        <v>12</v>
      </c>
      <c r="N59" s="3">
        <f>(1960.4*12)</f>
        <v>23524.800000000003</v>
      </c>
      <c r="O59" t="s">
        <v>30</v>
      </c>
      <c r="P59">
        <v>12</v>
      </c>
      <c r="Q59" s="3">
        <f>(1960.4*12)</f>
        <v>23524.800000000003</v>
      </c>
      <c r="R59" t="s">
        <v>30</v>
      </c>
      <c r="S59">
        <v>12</v>
      </c>
      <c r="T59" s="3">
        <f>(1960.4*12)</f>
        <v>23524.800000000003</v>
      </c>
      <c r="U59" t="s">
        <v>30</v>
      </c>
      <c r="V59">
        <v>0</v>
      </c>
      <c r="W59" s="3"/>
      <c r="X59" t="s">
        <v>30</v>
      </c>
      <c r="Y59">
        <v>0</v>
      </c>
      <c r="Z59" s="3"/>
      <c r="AA59" t="s">
        <v>30</v>
      </c>
      <c r="AB59">
        <v>0</v>
      </c>
      <c r="AC59" s="3"/>
      <c r="AD59" t="s">
        <v>30</v>
      </c>
      <c r="AE59">
        <v>0</v>
      </c>
      <c r="AF59" s="3"/>
      <c r="AG59" t="s">
        <v>30</v>
      </c>
      <c r="AH59">
        <v>0</v>
      </c>
      <c r="AI59" s="3"/>
    </row>
    <row r="60" spans="1:35" ht="15" x14ac:dyDescent="0.25">
      <c r="A60" t="s">
        <v>218</v>
      </c>
      <c r="B60" t="s">
        <v>219</v>
      </c>
      <c r="C60" t="s">
        <v>220</v>
      </c>
      <c r="D60" s="3">
        <v>6183.33</v>
      </c>
      <c r="E60" t="s">
        <v>18</v>
      </c>
      <c r="F60" t="s">
        <v>30</v>
      </c>
      <c r="G60">
        <v>12</v>
      </c>
      <c r="H60" s="3">
        <f>(6183.33*12)</f>
        <v>74199.959999999992</v>
      </c>
      <c r="I60" t="s">
        <v>30</v>
      </c>
      <c r="J60">
        <v>12</v>
      </c>
      <c r="K60" s="3">
        <f>(6183.33*12)</f>
        <v>74199.959999999992</v>
      </c>
      <c r="L60" t="s">
        <v>30</v>
      </c>
      <c r="M60">
        <v>0</v>
      </c>
      <c r="N60" s="3"/>
      <c r="O60" t="s">
        <v>30</v>
      </c>
      <c r="P60">
        <v>0</v>
      </c>
      <c r="Q60" s="3"/>
      <c r="R60" t="s">
        <v>30</v>
      </c>
      <c r="S60">
        <v>0</v>
      </c>
      <c r="T60" s="3"/>
      <c r="U60" t="s">
        <v>30</v>
      </c>
      <c r="V60">
        <v>0</v>
      </c>
      <c r="W60" s="3"/>
      <c r="X60" t="s">
        <v>30</v>
      </c>
      <c r="Y60">
        <v>0</v>
      </c>
      <c r="Z60" s="3"/>
      <c r="AA60" t="s">
        <v>30</v>
      </c>
      <c r="AB60">
        <v>0</v>
      </c>
      <c r="AC60" s="3"/>
      <c r="AD60" t="s">
        <v>30</v>
      </c>
      <c r="AE60">
        <v>0</v>
      </c>
      <c r="AF60" s="3"/>
      <c r="AG60" t="s">
        <v>30</v>
      </c>
      <c r="AH60">
        <v>0</v>
      </c>
      <c r="AI60" s="3"/>
    </row>
    <row r="61" spans="1:35" ht="15" x14ac:dyDescent="0.25">
      <c r="A61" t="s">
        <v>221</v>
      </c>
      <c r="B61" t="s">
        <v>222</v>
      </c>
      <c r="C61" t="s">
        <v>223</v>
      </c>
      <c r="D61" s="3">
        <v>0</v>
      </c>
      <c r="E61" t="s">
        <v>17</v>
      </c>
      <c r="F61" t="s">
        <v>30</v>
      </c>
      <c r="G61">
        <v>12</v>
      </c>
      <c r="H61" s="3">
        <f>(0*12)</f>
        <v>0</v>
      </c>
      <c r="I61" t="s">
        <v>30</v>
      </c>
      <c r="J61">
        <v>0</v>
      </c>
      <c r="K61" s="3"/>
      <c r="L61" t="s">
        <v>30</v>
      </c>
      <c r="M61">
        <v>0</v>
      </c>
      <c r="N61" s="3"/>
      <c r="O61" t="s">
        <v>30</v>
      </c>
      <c r="P61">
        <v>0</v>
      </c>
      <c r="Q61" s="3"/>
      <c r="R61" t="s">
        <v>30</v>
      </c>
      <c r="S61">
        <v>0</v>
      </c>
      <c r="T61" s="3"/>
      <c r="U61" t="s">
        <v>30</v>
      </c>
      <c r="V61">
        <v>0</v>
      </c>
      <c r="W61" s="3"/>
      <c r="X61" t="s">
        <v>30</v>
      </c>
      <c r="Y61">
        <v>0</v>
      </c>
      <c r="Z61" s="3"/>
      <c r="AA61" t="s">
        <v>30</v>
      </c>
      <c r="AB61">
        <v>0</v>
      </c>
      <c r="AC61" s="3"/>
      <c r="AD61" t="s">
        <v>30</v>
      </c>
      <c r="AE61">
        <v>0</v>
      </c>
      <c r="AF61" s="3"/>
      <c r="AG61" t="s">
        <v>30</v>
      </c>
      <c r="AH61">
        <v>0</v>
      </c>
      <c r="AI61" s="3"/>
    </row>
    <row r="62" spans="1:35" ht="15" x14ac:dyDescent="0.25">
      <c r="A62" t="s">
        <v>224</v>
      </c>
      <c r="B62" t="s">
        <v>225</v>
      </c>
      <c r="C62" t="s">
        <v>226</v>
      </c>
      <c r="D62" s="3">
        <v>10900.65</v>
      </c>
      <c r="E62" t="s">
        <v>227</v>
      </c>
      <c r="F62" t="s">
        <v>30</v>
      </c>
      <c r="G62">
        <v>12</v>
      </c>
      <c r="H62" s="3">
        <f>(10900.65*12)</f>
        <v>130807.79999999999</v>
      </c>
      <c r="I62" t="s">
        <v>30</v>
      </c>
      <c r="J62">
        <v>12</v>
      </c>
      <c r="K62" s="3">
        <f>(10900.65*12)</f>
        <v>130807.79999999999</v>
      </c>
      <c r="L62" t="s">
        <v>30</v>
      </c>
      <c r="M62">
        <v>12</v>
      </c>
      <c r="N62" s="3">
        <f>(10900.65*12)</f>
        <v>130807.79999999999</v>
      </c>
      <c r="O62" t="s">
        <v>30</v>
      </c>
      <c r="P62">
        <v>12</v>
      </c>
      <c r="Q62" s="3">
        <f>(10900.65*12)</f>
        <v>130807.79999999999</v>
      </c>
      <c r="R62" t="s">
        <v>30</v>
      </c>
      <c r="S62">
        <v>12</v>
      </c>
      <c r="T62" s="3">
        <f>(10900.65*12)</f>
        <v>130807.79999999999</v>
      </c>
      <c r="U62" t="s">
        <v>30</v>
      </c>
      <c r="V62">
        <v>12</v>
      </c>
      <c r="W62" s="3">
        <f>(10900.65*12)</f>
        <v>130807.79999999999</v>
      </c>
      <c r="X62" t="s">
        <v>30</v>
      </c>
      <c r="Y62">
        <v>60</v>
      </c>
      <c r="Z62" s="3">
        <f>(10900.65*60)</f>
        <v>654039</v>
      </c>
      <c r="AA62" t="s">
        <v>30</v>
      </c>
      <c r="AB62">
        <v>18</v>
      </c>
      <c r="AC62" s="3">
        <f>(10900.65*18)</f>
        <v>196211.69999999998</v>
      </c>
      <c r="AD62" t="s">
        <v>30</v>
      </c>
      <c r="AE62">
        <v>0</v>
      </c>
      <c r="AF62" s="3"/>
      <c r="AG62" t="s">
        <v>30</v>
      </c>
      <c r="AH62">
        <v>0</v>
      </c>
      <c r="AI62" s="3"/>
    </row>
    <row r="63" spans="1:35" ht="15" x14ac:dyDescent="0.25">
      <c r="A63" t="s">
        <v>228</v>
      </c>
      <c r="B63" t="s">
        <v>229</v>
      </c>
      <c r="C63" t="s">
        <v>230</v>
      </c>
      <c r="D63" s="3">
        <v>7518.4</v>
      </c>
      <c r="E63" t="s">
        <v>227</v>
      </c>
      <c r="F63" t="s">
        <v>30</v>
      </c>
      <c r="G63">
        <v>12</v>
      </c>
      <c r="H63" s="3">
        <f>(7518.4*12)</f>
        <v>90220.799999999988</v>
      </c>
      <c r="I63" t="s">
        <v>30</v>
      </c>
      <c r="J63">
        <v>12</v>
      </c>
      <c r="K63" s="3">
        <f>(7518.4*12)</f>
        <v>90220.799999999988</v>
      </c>
      <c r="L63" t="s">
        <v>30</v>
      </c>
      <c r="M63">
        <v>12</v>
      </c>
      <c r="N63" s="3">
        <f>(7518.4*12)</f>
        <v>90220.799999999988</v>
      </c>
      <c r="O63" t="s">
        <v>30</v>
      </c>
      <c r="P63">
        <v>12</v>
      </c>
      <c r="Q63" s="3">
        <f>(7518.4*12)</f>
        <v>90220.799999999988</v>
      </c>
      <c r="R63" t="s">
        <v>30</v>
      </c>
      <c r="S63">
        <v>12</v>
      </c>
      <c r="T63" s="3">
        <f>(7518.4*12)</f>
        <v>90220.799999999988</v>
      </c>
      <c r="U63" t="s">
        <v>30</v>
      </c>
      <c r="V63">
        <v>12</v>
      </c>
      <c r="W63" s="3">
        <f>(7518.4*12)</f>
        <v>90220.799999999988</v>
      </c>
      <c r="X63" t="s">
        <v>30</v>
      </c>
      <c r="Y63">
        <v>60</v>
      </c>
      <c r="Z63" s="3">
        <f>(7518.4*60)</f>
        <v>451104</v>
      </c>
      <c r="AA63" t="s">
        <v>30</v>
      </c>
      <c r="AB63">
        <v>18</v>
      </c>
      <c r="AC63" s="3">
        <f>(7518.4*18)</f>
        <v>135331.19999999998</v>
      </c>
      <c r="AD63" t="s">
        <v>30</v>
      </c>
      <c r="AE63">
        <v>0</v>
      </c>
      <c r="AF63" s="3"/>
      <c r="AG63" t="s">
        <v>30</v>
      </c>
      <c r="AH63">
        <v>0</v>
      </c>
      <c r="AI63" s="3"/>
    </row>
    <row r="64" spans="1:35" ht="15" x14ac:dyDescent="0.25">
      <c r="A64" t="s">
        <v>231</v>
      </c>
      <c r="B64" t="s">
        <v>232</v>
      </c>
      <c r="C64" t="s">
        <v>233</v>
      </c>
      <c r="D64" s="3">
        <v>4279.5200000000004</v>
      </c>
      <c r="E64" t="s">
        <v>214</v>
      </c>
      <c r="F64" t="s">
        <v>30</v>
      </c>
      <c r="G64">
        <v>12</v>
      </c>
      <c r="H64" s="3">
        <f>(4279.52*8)+(4416*4)</f>
        <v>51900.160000000003</v>
      </c>
      <c r="I64" t="s">
        <v>30</v>
      </c>
      <c r="J64">
        <v>8</v>
      </c>
      <c r="K64" s="3">
        <f>(4416*8)</f>
        <v>35328</v>
      </c>
      <c r="L64" t="s">
        <v>30</v>
      </c>
      <c r="M64">
        <v>0</v>
      </c>
      <c r="N64" s="3"/>
      <c r="O64" t="s">
        <v>30</v>
      </c>
      <c r="P64">
        <v>0</v>
      </c>
      <c r="Q64" s="3"/>
      <c r="R64" t="s">
        <v>30</v>
      </c>
      <c r="S64">
        <v>0</v>
      </c>
      <c r="T64" s="3"/>
      <c r="U64" t="s">
        <v>30</v>
      </c>
      <c r="V64">
        <v>0</v>
      </c>
      <c r="W64" s="3"/>
      <c r="X64" t="s">
        <v>30</v>
      </c>
      <c r="Y64">
        <v>0</v>
      </c>
      <c r="Z64" s="3"/>
      <c r="AA64" t="s">
        <v>30</v>
      </c>
      <c r="AB64">
        <v>0</v>
      </c>
      <c r="AC64" s="3"/>
      <c r="AD64" t="s">
        <v>30</v>
      </c>
      <c r="AE64">
        <v>0</v>
      </c>
      <c r="AF64" s="3"/>
      <c r="AG64" t="s">
        <v>30</v>
      </c>
      <c r="AH64">
        <v>0</v>
      </c>
      <c r="AI64" s="3"/>
    </row>
    <row r="65" spans="1:35" ht="15" x14ac:dyDescent="0.25">
      <c r="A65" t="s">
        <v>234</v>
      </c>
      <c r="B65" t="s">
        <v>235</v>
      </c>
      <c r="C65" t="s">
        <v>236</v>
      </c>
      <c r="D65" s="3">
        <v>3541.99</v>
      </c>
      <c r="E65" t="s">
        <v>237</v>
      </c>
      <c r="F65" t="s">
        <v>30</v>
      </c>
      <c r="G65">
        <v>12</v>
      </c>
      <c r="H65" s="3">
        <f>(3541.99*12)</f>
        <v>42503.88</v>
      </c>
      <c r="I65" t="s">
        <v>30</v>
      </c>
      <c r="J65">
        <v>12</v>
      </c>
      <c r="K65" s="3">
        <f>(3541.99*12)</f>
        <v>42503.88</v>
      </c>
      <c r="L65" t="s">
        <v>30</v>
      </c>
      <c r="M65">
        <v>12</v>
      </c>
      <c r="N65" s="3">
        <f>(3541.99*12)</f>
        <v>42503.88</v>
      </c>
      <c r="O65" t="s">
        <v>30</v>
      </c>
      <c r="P65">
        <v>12</v>
      </c>
      <c r="Q65" s="3">
        <f>(3541.99*12)</f>
        <v>42503.88</v>
      </c>
      <c r="R65" t="s">
        <v>30</v>
      </c>
      <c r="S65">
        <v>12</v>
      </c>
      <c r="T65" s="3">
        <f>(3541.99*12)</f>
        <v>42503.88</v>
      </c>
      <c r="U65" t="s">
        <v>30</v>
      </c>
      <c r="V65">
        <v>12</v>
      </c>
      <c r="W65" s="3">
        <f>(3541.99*12)</f>
        <v>42503.88</v>
      </c>
      <c r="X65" t="s">
        <v>30</v>
      </c>
      <c r="Y65">
        <v>32</v>
      </c>
      <c r="Z65" s="3">
        <f>(3541.99*32)</f>
        <v>113343.67999999999</v>
      </c>
      <c r="AA65" t="s">
        <v>30</v>
      </c>
      <c r="AB65">
        <v>0</v>
      </c>
      <c r="AC65" s="3"/>
      <c r="AD65" t="s">
        <v>30</v>
      </c>
      <c r="AE65">
        <v>0</v>
      </c>
      <c r="AF65" s="3"/>
      <c r="AG65" t="s">
        <v>30</v>
      </c>
      <c r="AH65">
        <v>0</v>
      </c>
      <c r="AI65" s="3"/>
    </row>
    <row r="66" spans="1:35" ht="15" x14ac:dyDescent="0.25">
      <c r="A66" t="s">
        <v>238</v>
      </c>
      <c r="B66" t="s">
        <v>239</v>
      </c>
      <c r="C66" t="s">
        <v>240</v>
      </c>
      <c r="D66" s="3">
        <v>21974.58</v>
      </c>
      <c r="E66" t="s">
        <v>183</v>
      </c>
      <c r="F66" t="s">
        <v>30</v>
      </c>
      <c r="G66">
        <v>12</v>
      </c>
      <c r="H66" s="3">
        <f>(21974.58*12)</f>
        <v>263694.96000000002</v>
      </c>
      <c r="I66" t="s">
        <v>30</v>
      </c>
      <c r="J66">
        <v>5</v>
      </c>
      <c r="K66" s="3">
        <f>(21974.58*5)</f>
        <v>109872.90000000001</v>
      </c>
      <c r="L66" t="s">
        <v>30</v>
      </c>
      <c r="M66">
        <v>0</v>
      </c>
      <c r="N66" s="3"/>
      <c r="O66" t="s">
        <v>30</v>
      </c>
      <c r="P66">
        <v>0</v>
      </c>
      <c r="Q66" s="3"/>
      <c r="R66" t="s">
        <v>30</v>
      </c>
      <c r="S66">
        <v>0</v>
      </c>
      <c r="T66" s="3"/>
      <c r="U66" t="s">
        <v>30</v>
      </c>
      <c r="V66">
        <v>0</v>
      </c>
      <c r="W66" s="3"/>
      <c r="X66" t="s">
        <v>30</v>
      </c>
      <c r="Y66">
        <v>0</v>
      </c>
      <c r="Z66" s="3"/>
      <c r="AA66" t="s">
        <v>30</v>
      </c>
      <c r="AB66">
        <v>0</v>
      </c>
      <c r="AC66" s="3"/>
      <c r="AD66" t="s">
        <v>30</v>
      </c>
      <c r="AE66">
        <v>0</v>
      </c>
      <c r="AF66" s="3"/>
      <c r="AG66" t="s">
        <v>30</v>
      </c>
      <c r="AH66">
        <v>0</v>
      </c>
      <c r="AI66" s="3"/>
    </row>
    <row r="67" spans="1:35" ht="15" x14ac:dyDescent="0.25">
      <c r="A67" t="s">
        <v>241</v>
      </c>
      <c r="B67" t="s">
        <v>242</v>
      </c>
      <c r="C67" t="s">
        <v>243</v>
      </c>
      <c r="D67" s="3">
        <v>9765</v>
      </c>
      <c r="E67" t="s">
        <v>94</v>
      </c>
      <c r="F67" t="s">
        <v>30</v>
      </c>
      <c r="G67">
        <v>12</v>
      </c>
      <c r="H67" s="3">
        <f>(9765*12)</f>
        <v>117180</v>
      </c>
      <c r="I67" t="s">
        <v>30</v>
      </c>
      <c r="J67">
        <v>12</v>
      </c>
      <c r="K67" s="3">
        <f>(9765*12)</f>
        <v>117180</v>
      </c>
      <c r="L67" t="s">
        <v>30</v>
      </c>
      <c r="M67">
        <v>12</v>
      </c>
      <c r="N67" s="3">
        <f>(9765*12)</f>
        <v>117180</v>
      </c>
      <c r="O67" t="s">
        <v>30</v>
      </c>
      <c r="P67">
        <v>4</v>
      </c>
      <c r="Q67" s="3">
        <f>(9765*4)</f>
        <v>39060</v>
      </c>
      <c r="R67" t="s">
        <v>30</v>
      </c>
      <c r="S67">
        <v>0</v>
      </c>
      <c r="T67" s="3"/>
      <c r="U67" t="s">
        <v>30</v>
      </c>
      <c r="V67">
        <v>0</v>
      </c>
      <c r="W67" s="3"/>
      <c r="X67" t="s">
        <v>30</v>
      </c>
      <c r="Y67">
        <v>0</v>
      </c>
      <c r="Z67" s="3"/>
      <c r="AA67" t="s">
        <v>30</v>
      </c>
      <c r="AB67">
        <v>0</v>
      </c>
      <c r="AC67" s="3"/>
      <c r="AD67" t="s">
        <v>30</v>
      </c>
      <c r="AE67">
        <v>0</v>
      </c>
      <c r="AF67" s="3"/>
      <c r="AG67" t="s">
        <v>30</v>
      </c>
      <c r="AH67">
        <v>0</v>
      </c>
      <c r="AI67" s="3"/>
    </row>
    <row r="68" spans="1:35" ht="15" x14ac:dyDescent="0.25">
      <c r="A68" t="s">
        <v>244</v>
      </c>
      <c r="B68" t="s">
        <v>245</v>
      </c>
      <c r="C68" t="s">
        <v>246</v>
      </c>
      <c r="D68" s="3">
        <v>396.67</v>
      </c>
      <c r="E68" t="s">
        <v>247</v>
      </c>
      <c r="F68" t="s">
        <v>30</v>
      </c>
      <c r="G68">
        <v>0</v>
      </c>
      <c r="H68" s="3"/>
      <c r="I68" t="s">
        <v>30</v>
      </c>
      <c r="J68">
        <v>0</v>
      </c>
      <c r="K68" s="3"/>
      <c r="L68" t="s">
        <v>30</v>
      </c>
      <c r="M68">
        <v>0</v>
      </c>
      <c r="N68" s="3"/>
      <c r="O68" t="s">
        <v>30</v>
      </c>
      <c r="P68">
        <v>0</v>
      </c>
      <c r="Q68" s="3"/>
      <c r="R68" t="s">
        <v>30</v>
      </c>
      <c r="S68">
        <v>0</v>
      </c>
      <c r="T68" s="3"/>
      <c r="U68" t="s">
        <v>30</v>
      </c>
      <c r="V68">
        <v>0</v>
      </c>
      <c r="W68" s="3"/>
      <c r="X68" t="s">
        <v>30</v>
      </c>
      <c r="Y68">
        <v>0</v>
      </c>
      <c r="Z68" s="3"/>
      <c r="AA68" t="s">
        <v>30</v>
      </c>
      <c r="AB68">
        <v>0</v>
      </c>
      <c r="AC68" s="3"/>
      <c r="AD68" t="s">
        <v>30</v>
      </c>
      <c r="AE68">
        <v>0</v>
      </c>
      <c r="AF68" s="3"/>
      <c r="AG68" t="s">
        <v>30</v>
      </c>
      <c r="AH68">
        <v>0</v>
      </c>
      <c r="AI68" s="3"/>
    </row>
    <row r="69" spans="1:35" ht="15" x14ac:dyDescent="0.25">
      <c r="A69" t="s">
        <v>248</v>
      </c>
      <c r="B69" t="s">
        <v>249</v>
      </c>
      <c r="C69" t="s">
        <v>250</v>
      </c>
      <c r="D69" s="3">
        <v>396.67</v>
      </c>
      <c r="E69" t="s">
        <v>247</v>
      </c>
      <c r="F69" t="s">
        <v>30</v>
      </c>
      <c r="G69">
        <v>0</v>
      </c>
      <c r="H69" s="3"/>
      <c r="I69" t="s">
        <v>30</v>
      </c>
      <c r="J69">
        <v>0</v>
      </c>
      <c r="K69" s="3"/>
      <c r="L69" t="s">
        <v>30</v>
      </c>
      <c r="M69">
        <v>0</v>
      </c>
      <c r="N69" s="3"/>
      <c r="O69" t="s">
        <v>30</v>
      </c>
      <c r="P69">
        <v>0</v>
      </c>
      <c r="Q69" s="3"/>
      <c r="R69" t="s">
        <v>30</v>
      </c>
      <c r="S69">
        <v>0</v>
      </c>
      <c r="T69" s="3"/>
      <c r="U69" t="s">
        <v>30</v>
      </c>
      <c r="V69">
        <v>0</v>
      </c>
      <c r="W69" s="3"/>
      <c r="X69" t="s">
        <v>30</v>
      </c>
      <c r="Y69">
        <v>0</v>
      </c>
      <c r="Z69" s="3"/>
      <c r="AA69" t="s">
        <v>30</v>
      </c>
      <c r="AB69">
        <v>0</v>
      </c>
      <c r="AC69" s="3"/>
      <c r="AD69" t="s">
        <v>30</v>
      </c>
      <c r="AE69">
        <v>0</v>
      </c>
      <c r="AF69" s="3"/>
      <c r="AG69" t="s">
        <v>30</v>
      </c>
      <c r="AH69">
        <v>0</v>
      </c>
      <c r="AI69" s="3"/>
    </row>
    <row r="70" spans="1:35" ht="15" x14ac:dyDescent="0.25">
      <c r="A70" t="s">
        <v>251</v>
      </c>
      <c r="B70" t="s">
        <v>252</v>
      </c>
      <c r="C70" t="s">
        <v>253</v>
      </c>
      <c r="D70" s="3">
        <v>396.67</v>
      </c>
      <c r="E70" t="s">
        <v>247</v>
      </c>
      <c r="F70" t="s">
        <v>30</v>
      </c>
      <c r="G70">
        <v>0</v>
      </c>
      <c r="H70" s="3"/>
      <c r="I70" t="s">
        <v>30</v>
      </c>
      <c r="J70">
        <v>0</v>
      </c>
      <c r="K70" s="3"/>
      <c r="L70" t="s">
        <v>30</v>
      </c>
      <c r="M70">
        <v>0</v>
      </c>
      <c r="N70" s="3"/>
      <c r="O70" t="s">
        <v>30</v>
      </c>
      <c r="P70">
        <v>0</v>
      </c>
      <c r="Q70" s="3"/>
      <c r="R70" t="s">
        <v>30</v>
      </c>
      <c r="S70">
        <v>0</v>
      </c>
      <c r="T70" s="3"/>
      <c r="U70" t="s">
        <v>30</v>
      </c>
      <c r="V70">
        <v>0</v>
      </c>
      <c r="W70" s="3"/>
      <c r="X70" t="s">
        <v>30</v>
      </c>
      <c r="Y70">
        <v>0</v>
      </c>
      <c r="Z70" s="3"/>
      <c r="AA70" t="s">
        <v>30</v>
      </c>
      <c r="AB70">
        <v>0</v>
      </c>
      <c r="AC70" s="3"/>
      <c r="AD70" t="s">
        <v>30</v>
      </c>
      <c r="AE70">
        <v>0</v>
      </c>
      <c r="AF70" s="3"/>
      <c r="AG70" t="s">
        <v>30</v>
      </c>
      <c r="AH70">
        <v>0</v>
      </c>
      <c r="AI70" s="3"/>
    </row>
    <row r="71" spans="1:35" ht="15" x14ac:dyDescent="0.25">
      <c r="A71" t="s">
        <v>254</v>
      </c>
      <c r="B71" t="s">
        <v>255</v>
      </c>
      <c r="C71" t="s">
        <v>256</v>
      </c>
      <c r="D71" s="3">
        <v>396.67</v>
      </c>
      <c r="E71" t="s">
        <v>247</v>
      </c>
      <c r="F71" t="s">
        <v>30</v>
      </c>
      <c r="G71">
        <v>0</v>
      </c>
      <c r="H71" s="3"/>
      <c r="I71" t="s">
        <v>30</v>
      </c>
      <c r="J71">
        <v>0</v>
      </c>
      <c r="K71" s="3"/>
      <c r="L71" t="s">
        <v>30</v>
      </c>
      <c r="M71">
        <v>0</v>
      </c>
      <c r="N71" s="3"/>
      <c r="O71" t="s">
        <v>30</v>
      </c>
      <c r="P71">
        <v>0</v>
      </c>
      <c r="Q71" s="3"/>
      <c r="R71" t="s">
        <v>30</v>
      </c>
      <c r="S71">
        <v>0</v>
      </c>
      <c r="T71" s="3"/>
      <c r="U71" t="s">
        <v>30</v>
      </c>
      <c r="V71">
        <v>0</v>
      </c>
      <c r="W71" s="3"/>
      <c r="X71" t="s">
        <v>30</v>
      </c>
      <c r="Y71">
        <v>0</v>
      </c>
      <c r="Z71" s="3"/>
      <c r="AA71" t="s">
        <v>30</v>
      </c>
      <c r="AB71">
        <v>0</v>
      </c>
      <c r="AC71" s="3"/>
      <c r="AD71" t="s">
        <v>30</v>
      </c>
      <c r="AE71">
        <v>0</v>
      </c>
      <c r="AF71" s="3"/>
      <c r="AG71" t="s">
        <v>30</v>
      </c>
      <c r="AH71">
        <v>0</v>
      </c>
      <c r="AI71" s="3"/>
    </row>
    <row r="72" spans="1:35" ht="15" x14ac:dyDescent="0.25">
      <c r="A72" t="s">
        <v>257</v>
      </c>
      <c r="B72" t="s">
        <v>258</v>
      </c>
      <c r="C72" t="s">
        <v>259</v>
      </c>
      <c r="D72" s="3">
        <v>0</v>
      </c>
      <c r="E72" t="s">
        <v>30</v>
      </c>
      <c r="F72" t="s">
        <v>30</v>
      </c>
      <c r="G72">
        <v>12</v>
      </c>
      <c r="H72" s="3">
        <f>(0*12)</f>
        <v>0</v>
      </c>
      <c r="I72" t="s">
        <v>30</v>
      </c>
      <c r="J72">
        <v>12</v>
      </c>
      <c r="K72" s="3">
        <f>(0*12)</f>
        <v>0</v>
      </c>
      <c r="L72" t="s">
        <v>30</v>
      </c>
      <c r="M72">
        <v>12</v>
      </c>
      <c r="N72" s="3">
        <f>(0*12)</f>
        <v>0</v>
      </c>
      <c r="O72" t="s">
        <v>30</v>
      </c>
      <c r="P72">
        <v>12</v>
      </c>
      <c r="Q72" s="3">
        <f>(0*12)</f>
        <v>0</v>
      </c>
      <c r="R72" t="s">
        <v>30</v>
      </c>
      <c r="S72">
        <v>12</v>
      </c>
      <c r="T72" s="3">
        <f>(0*12)</f>
        <v>0</v>
      </c>
      <c r="U72" t="s">
        <v>30</v>
      </c>
      <c r="V72">
        <v>12</v>
      </c>
      <c r="W72" s="3">
        <f>(0*12)</f>
        <v>0</v>
      </c>
      <c r="X72" t="s">
        <v>30</v>
      </c>
      <c r="Y72">
        <v>60</v>
      </c>
      <c r="Z72" s="3">
        <f>(0*60)</f>
        <v>0</v>
      </c>
      <c r="AA72" t="s">
        <v>30</v>
      </c>
      <c r="AB72">
        <v>60</v>
      </c>
      <c r="AC72" s="3">
        <f>(0*60)</f>
        <v>0</v>
      </c>
      <c r="AD72" t="s">
        <v>30</v>
      </c>
      <c r="AE72">
        <v>60</v>
      </c>
      <c r="AF72" s="3">
        <f>(0*60)</f>
        <v>0</v>
      </c>
      <c r="AG72" t="s">
        <v>30</v>
      </c>
      <c r="AH72">
        <v>60</v>
      </c>
      <c r="AI72" s="3">
        <f>(0*60)</f>
        <v>0</v>
      </c>
    </row>
    <row r="73" spans="1:35" ht="15" x14ac:dyDescent="0.25">
      <c r="A73" t="s">
        <v>260</v>
      </c>
      <c r="B73" t="s">
        <v>261</v>
      </c>
      <c r="C73" t="s">
        <v>262</v>
      </c>
      <c r="D73" s="3">
        <v>7623.28</v>
      </c>
      <c r="E73" t="s">
        <v>21</v>
      </c>
      <c r="F73" t="s">
        <v>30</v>
      </c>
      <c r="G73">
        <v>12</v>
      </c>
      <c r="H73" s="3">
        <f>(7623.28*12)</f>
        <v>91479.360000000001</v>
      </c>
      <c r="I73" t="s">
        <v>30</v>
      </c>
      <c r="J73">
        <v>12</v>
      </c>
      <c r="K73" s="3">
        <f>(7623.28*12)</f>
        <v>91479.360000000001</v>
      </c>
      <c r="L73" t="s">
        <v>30</v>
      </c>
      <c r="M73">
        <v>12</v>
      </c>
      <c r="N73" s="3">
        <f>(7623.28*12)</f>
        <v>91479.360000000001</v>
      </c>
      <c r="O73" t="s">
        <v>30</v>
      </c>
      <c r="P73">
        <v>12</v>
      </c>
      <c r="Q73" s="3">
        <f>(7623.28*12)</f>
        <v>91479.360000000001</v>
      </c>
      <c r="R73" t="s">
        <v>30</v>
      </c>
      <c r="S73">
        <v>12</v>
      </c>
      <c r="T73" s="3">
        <f>(7623.28*12)</f>
        <v>91479.360000000001</v>
      </c>
      <c r="U73" t="s">
        <v>30</v>
      </c>
      <c r="V73">
        <v>0</v>
      </c>
      <c r="W73" s="3"/>
      <c r="X73" t="s">
        <v>30</v>
      </c>
      <c r="Y73">
        <v>0</v>
      </c>
      <c r="Z73" s="3"/>
      <c r="AA73" t="s">
        <v>30</v>
      </c>
      <c r="AB73">
        <v>0</v>
      </c>
      <c r="AC73" s="3"/>
      <c r="AD73" t="s">
        <v>30</v>
      </c>
      <c r="AE73">
        <v>0</v>
      </c>
      <c r="AF73" s="3"/>
      <c r="AG73" t="s">
        <v>30</v>
      </c>
      <c r="AH73">
        <v>0</v>
      </c>
      <c r="AI73" s="3"/>
    </row>
    <row r="74" spans="1:35" ht="15" x14ac:dyDescent="0.25">
      <c r="A74" t="s">
        <v>263</v>
      </c>
      <c r="B74" t="s">
        <v>264</v>
      </c>
      <c r="C74" t="s">
        <v>265</v>
      </c>
      <c r="D74" s="3">
        <v>2248.9499999999998</v>
      </c>
      <c r="E74" t="s">
        <v>191</v>
      </c>
      <c r="F74" t="s">
        <v>30</v>
      </c>
      <c r="G74">
        <v>12</v>
      </c>
      <c r="H74" s="3">
        <f>(2248.95*12)</f>
        <v>26987.399999999998</v>
      </c>
      <c r="I74" t="s">
        <v>30</v>
      </c>
      <c r="J74">
        <v>12</v>
      </c>
      <c r="K74" s="3">
        <f>(2248.95*12)</f>
        <v>26987.399999999998</v>
      </c>
      <c r="L74" t="s">
        <v>30</v>
      </c>
      <c r="M74">
        <v>12</v>
      </c>
      <c r="N74" s="3">
        <f>(2248.95*12)</f>
        <v>26987.399999999998</v>
      </c>
      <c r="O74" t="s">
        <v>30</v>
      </c>
      <c r="P74">
        <v>12</v>
      </c>
      <c r="Q74" s="3">
        <f>(2248.95*12)</f>
        <v>26987.399999999998</v>
      </c>
      <c r="R74" t="s">
        <v>30</v>
      </c>
      <c r="S74">
        <v>12</v>
      </c>
      <c r="T74" s="3">
        <f>(2248.95*12)</f>
        <v>26987.399999999998</v>
      </c>
      <c r="U74" t="s">
        <v>30</v>
      </c>
      <c r="V74">
        <v>12</v>
      </c>
      <c r="W74" s="3">
        <f>(2248.95*12)</f>
        <v>26987.399999999998</v>
      </c>
      <c r="X74" t="s">
        <v>30</v>
      </c>
      <c r="Y74">
        <v>60</v>
      </c>
      <c r="Z74" s="3">
        <f>(2248.95*60)</f>
        <v>134937</v>
      </c>
      <c r="AA74" t="s">
        <v>30</v>
      </c>
      <c r="AB74">
        <v>58</v>
      </c>
      <c r="AC74" s="3">
        <f>(2248.95*58)</f>
        <v>130439.09999999999</v>
      </c>
      <c r="AD74" t="s">
        <v>30</v>
      </c>
      <c r="AE74">
        <v>0</v>
      </c>
      <c r="AF74" s="3"/>
      <c r="AG74" t="s">
        <v>30</v>
      </c>
      <c r="AH74">
        <v>0</v>
      </c>
      <c r="AI74" s="3"/>
    </row>
    <row r="75" spans="1:35" ht="15" x14ac:dyDescent="0.25">
      <c r="A75" t="s">
        <v>266</v>
      </c>
      <c r="B75" t="s">
        <v>267</v>
      </c>
      <c r="C75" t="s">
        <v>268</v>
      </c>
      <c r="D75" s="3">
        <v>1410.73</v>
      </c>
      <c r="E75" t="s">
        <v>191</v>
      </c>
      <c r="F75" t="s">
        <v>30</v>
      </c>
      <c r="G75">
        <v>12</v>
      </c>
      <c r="H75" s="3">
        <f>(1410.73*12)</f>
        <v>16928.760000000002</v>
      </c>
      <c r="I75" t="s">
        <v>30</v>
      </c>
      <c r="J75">
        <v>12</v>
      </c>
      <c r="K75" s="3">
        <f>(1410.73*12)</f>
        <v>16928.760000000002</v>
      </c>
      <c r="L75" t="s">
        <v>30</v>
      </c>
      <c r="M75">
        <v>12</v>
      </c>
      <c r="N75" s="3">
        <f>(1410.73*12)</f>
        <v>16928.760000000002</v>
      </c>
      <c r="O75" t="s">
        <v>30</v>
      </c>
      <c r="P75">
        <v>12</v>
      </c>
      <c r="Q75" s="3">
        <f>(1410.73*12)</f>
        <v>16928.760000000002</v>
      </c>
      <c r="R75" t="s">
        <v>30</v>
      </c>
      <c r="S75">
        <v>12</v>
      </c>
      <c r="T75" s="3">
        <f>(1410.73*12)</f>
        <v>16928.760000000002</v>
      </c>
      <c r="U75" t="s">
        <v>30</v>
      </c>
      <c r="V75">
        <v>12</v>
      </c>
      <c r="W75" s="3">
        <f>(1410.73*12)</f>
        <v>16928.760000000002</v>
      </c>
      <c r="X75" t="s">
        <v>30</v>
      </c>
      <c r="Y75">
        <v>60</v>
      </c>
      <c r="Z75" s="3">
        <f>(1410.73*60)</f>
        <v>84643.8</v>
      </c>
      <c r="AA75" t="s">
        <v>30</v>
      </c>
      <c r="AB75">
        <v>58</v>
      </c>
      <c r="AC75" s="3">
        <f>(1410.73*58)</f>
        <v>81822.34</v>
      </c>
      <c r="AD75" t="s">
        <v>30</v>
      </c>
      <c r="AE75">
        <v>0</v>
      </c>
      <c r="AF75" s="3"/>
      <c r="AG75" t="s">
        <v>30</v>
      </c>
      <c r="AH75">
        <v>0</v>
      </c>
      <c r="AI75" s="3"/>
    </row>
    <row r="76" spans="1:35" ht="15" x14ac:dyDescent="0.25">
      <c r="A76" t="s">
        <v>269</v>
      </c>
      <c r="B76" t="s">
        <v>270</v>
      </c>
      <c r="C76" t="s">
        <v>271</v>
      </c>
      <c r="D76" s="3">
        <v>166.84</v>
      </c>
      <c r="E76" t="s">
        <v>191</v>
      </c>
      <c r="F76" t="s">
        <v>30</v>
      </c>
      <c r="G76">
        <v>12</v>
      </c>
      <c r="H76" s="3">
        <f>(166.84*12)</f>
        <v>2002.08</v>
      </c>
      <c r="I76" t="s">
        <v>30</v>
      </c>
      <c r="J76">
        <v>12</v>
      </c>
      <c r="K76" s="3">
        <f>(166.84*12)</f>
        <v>2002.08</v>
      </c>
      <c r="L76" t="s">
        <v>30</v>
      </c>
      <c r="M76">
        <v>12</v>
      </c>
      <c r="N76" s="3">
        <f>(166.84*12)</f>
        <v>2002.08</v>
      </c>
      <c r="O76" t="s">
        <v>30</v>
      </c>
      <c r="P76">
        <v>12</v>
      </c>
      <c r="Q76" s="3">
        <f>(166.84*12)</f>
        <v>2002.08</v>
      </c>
      <c r="R76" t="s">
        <v>30</v>
      </c>
      <c r="S76">
        <v>12</v>
      </c>
      <c r="T76" s="3">
        <f>(166.84*12)</f>
        <v>2002.08</v>
      </c>
      <c r="U76" t="s">
        <v>30</v>
      </c>
      <c r="V76">
        <v>12</v>
      </c>
      <c r="W76" s="3">
        <f>(166.84*12)</f>
        <v>2002.08</v>
      </c>
      <c r="X76" t="s">
        <v>30</v>
      </c>
      <c r="Y76">
        <v>60</v>
      </c>
      <c r="Z76" s="3">
        <f>(166.84*60)</f>
        <v>10010.4</v>
      </c>
      <c r="AA76" t="s">
        <v>30</v>
      </c>
      <c r="AB76">
        <v>58</v>
      </c>
      <c r="AC76" s="3">
        <f>(166.84*58)</f>
        <v>9676.7199999999993</v>
      </c>
      <c r="AD76" t="s">
        <v>30</v>
      </c>
      <c r="AE76">
        <v>0</v>
      </c>
      <c r="AF76" s="3"/>
      <c r="AG76" t="s">
        <v>30</v>
      </c>
      <c r="AH76">
        <v>0</v>
      </c>
      <c r="AI76" s="3"/>
    </row>
    <row r="77" spans="1:35" ht="15" x14ac:dyDescent="0.25">
      <c r="A77" t="s">
        <v>272</v>
      </c>
      <c r="B77" t="s">
        <v>273</v>
      </c>
      <c r="C77" t="s">
        <v>274</v>
      </c>
      <c r="D77" s="3">
        <v>1869.81</v>
      </c>
      <c r="E77" t="s">
        <v>275</v>
      </c>
      <c r="F77" t="s">
        <v>30</v>
      </c>
      <c r="G77">
        <v>12</v>
      </c>
      <c r="H77" s="3">
        <f>(1869.81*12)</f>
        <v>22437.72</v>
      </c>
      <c r="I77" t="s">
        <v>30</v>
      </c>
      <c r="J77">
        <v>12</v>
      </c>
      <c r="K77" s="3">
        <f>(1869.81*12)</f>
        <v>22437.72</v>
      </c>
      <c r="L77" t="s">
        <v>30</v>
      </c>
      <c r="M77">
        <v>12</v>
      </c>
      <c r="N77" s="3">
        <f>(1869.81*12)</f>
        <v>22437.72</v>
      </c>
      <c r="O77" t="s">
        <v>30</v>
      </c>
      <c r="P77">
        <v>12</v>
      </c>
      <c r="Q77" s="3">
        <f>(1869.81*12)</f>
        <v>22437.72</v>
      </c>
      <c r="R77" t="s">
        <v>30</v>
      </c>
      <c r="S77">
        <v>12</v>
      </c>
      <c r="T77" s="3">
        <f>(1869.81*12)</f>
        <v>22437.72</v>
      </c>
      <c r="U77" t="s">
        <v>30</v>
      </c>
      <c r="V77">
        <v>12</v>
      </c>
      <c r="W77" s="3">
        <f>(1869.81*12)</f>
        <v>22437.72</v>
      </c>
      <c r="X77" t="s">
        <v>30</v>
      </c>
      <c r="Y77">
        <v>14</v>
      </c>
      <c r="Z77" s="3">
        <f>(1869.81*14)</f>
        <v>26177.34</v>
      </c>
      <c r="AA77" t="s">
        <v>30</v>
      </c>
      <c r="AB77">
        <v>0</v>
      </c>
      <c r="AC77" s="3"/>
      <c r="AD77" t="s">
        <v>30</v>
      </c>
      <c r="AE77">
        <v>0</v>
      </c>
      <c r="AF77" s="3"/>
      <c r="AG77" t="s">
        <v>30</v>
      </c>
      <c r="AH77">
        <v>0</v>
      </c>
      <c r="AI77" s="3"/>
    </row>
    <row r="78" spans="1:35" ht="15" x14ac:dyDescent="0.25">
      <c r="A78" t="s">
        <v>276</v>
      </c>
      <c r="B78" t="s">
        <v>277</v>
      </c>
      <c r="C78" t="s">
        <v>278</v>
      </c>
      <c r="D78" s="3">
        <v>1150</v>
      </c>
      <c r="E78" t="s">
        <v>109</v>
      </c>
      <c r="F78" t="s">
        <v>30</v>
      </c>
      <c r="G78">
        <v>7</v>
      </c>
      <c r="H78" s="3">
        <f>(1150*7)</f>
        <v>8050</v>
      </c>
      <c r="I78" t="s">
        <v>30</v>
      </c>
      <c r="J78">
        <v>0</v>
      </c>
      <c r="K78" s="3"/>
      <c r="L78" t="s">
        <v>30</v>
      </c>
      <c r="M78">
        <v>0</v>
      </c>
      <c r="N78" s="3"/>
      <c r="O78" t="s">
        <v>30</v>
      </c>
      <c r="P78">
        <v>0</v>
      </c>
      <c r="Q78" s="3"/>
      <c r="R78" t="s">
        <v>30</v>
      </c>
      <c r="S78">
        <v>0</v>
      </c>
      <c r="T78" s="3"/>
      <c r="U78" t="s">
        <v>30</v>
      </c>
      <c r="V78">
        <v>0</v>
      </c>
      <c r="W78" s="3"/>
      <c r="X78" t="s">
        <v>30</v>
      </c>
      <c r="Y78">
        <v>0</v>
      </c>
      <c r="Z78" s="3"/>
      <c r="AA78" t="s">
        <v>30</v>
      </c>
      <c r="AB78">
        <v>0</v>
      </c>
      <c r="AC78" s="3"/>
      <c r="AD78" t="s">
        <v>30</v>
      </c>
      <c r="AE78">
        <v>0</v>
      </c>
      <c r="AF78" s="3"/>
      <c r="AG78" t="s">
        <v>30</v>
      </c>
      <c r="AH78">
        <v>0</v>
      </c>
      <c r="AI78" s="3"/>
    </row>
    <row r="79" spans="1:35" ht="15" x14ac:dyDescent="0.25">
      <c r="A79" t="s">
        <v>279</v>
      </c>
      <c r="B79" t="s">
        <v>280</v>
      </c>
      <c r="C79" t="s">
        <v>281</v>
      </c>
      <c r="D79" s="3">
        <v>1030</v>
      </c>
      <c r="E79" t="s">
        <v>282</v>
      </c>
      <c r="F79" t="s">
        <v>30</v>
      </c>
      <c r="G79">
        <v>12</v>
      </c>
      <c r="H79" s="3">
        <f>(1030*12)</f>
        <v>12360</v>
      </c>
      <c r="I79" t="s">
        <v>30</v>
      </c>
      <c r="J79">
        <v>12</v>
      </c>
      <c r="K79" s="3">
        <f>(1030*12)</f>
        <v>12360</v>
      </c>
      <c r="L79" t="s">
        <v>30</v>
      </c>
      <c r="M79">
        <v>2</v>
      </c>
      <c r="N79" s="3">
        <f>(1030*2)</f>
        <v>2060</v>
      </c>
      <c r="O79" t="s">
        <v>30</v>
      </c>
      <c r="P79">
        <v>0</v>
      </c>
      <c r="Q79" s="3"/>
      <c r="R79" t="s">
        <v>30</v>
      </c>
      <c r="S79">
        <v>0</v>
      </c>
      <c r="T79" s="3"/>
      <c r="U79" t="s">
        <v>30</v>
      </c>
      <c r="V79">
        <v>0</v>
      </c>
      <c r="W79" s="3"/>
      <c r="X79" t="s">
        <v>30</v>
      </c>
      <c r="Y79">
        <v>0</v>
      </c>
      <c r="Z79" s="3"/>
      <c r="AA79" t="s">
        <v>30</v>
      </c>
      <c r="AB79">
        <v>0</v>
      </c>
      <c r="AC79" s="3"/>
      <c r="AD79" t="s">
        <v>30</v>
      </c>
      <c r="AE79">
        <v>0</v>
      </c>
      <c r="AF79" s="3"/>
      <c r="AG79" t="s">
        <v>30</v>
      </c>
      <c r="AH79">
        <v>0</v>
      </c>
      <c r="AI79" s="3"/>
    </row>
    <row r="80" spans="1:35" ht="15" x14ac:dyDescent="0.25">
      <c r="A80" t="s">
        <v>283</v>
      </c>
      <c r="B80" t="s">
        <v>284</v>
      </c>
      <c r="C80" t="s">
        <v>285</v>
      </c>
      <c r="D80" s="3">
        <v>2200</v>
      </c>
      <c r="E80" t="s">
        <v>109</v>
      </c>
      <c r="F80" t="s">
        <v>30</v>
      </c>
      <c r="G80">
        <v>7</v>
      </c>
      <c r="H80" s="3">
        <f>(2200*7)</f>
        <v>15400</v>
      </c>
      <c r="I80" t="s">
        <v>30</v>
      </c>
      <c r="J80">
        <v>0</v>
      </c>
      <c r="K80" s="3"/>
      <c r="L80" t="s">
        <v>30</v>
      </c>
      <c r="M80">
        <v>0</v>
      </c>
      <c r="N80" s="3"/>
      <c r="O80" t="s">
        <v>30</v>
      </c>
      <c r="P80">
        <v>0</v>
      </c>
      <c r="Q80" s="3"/>
      <c r="R80" t="s">
        <v>30</v>
      </c>
      <c r="S80">
        <v>0</v>
      </c>
      <c r="T80" s="3"/>
      <c r="U80" t="s">
        <v>30</v>
      </c>
      <c r="V80">
        <v>0</v>
      </c>
      <c r="W80" s="3"/>
      <c r="X80" t="s">
        <v>30</v>
      </c>
      <c r="Y80">
        <v>0</v>
      </c>
      <c r="Z80" s="3"/>
      <c r="AA80" t="s">
        <v>30</v>
      </c>
      <c r="AB80">
        <v>0</v>
      </c>
      <c r="AC80" s="3"/>
      <c r="AD80" t="s">
        <v>30</v>
      </c>
      <c r="AE80">
        <v>0</v>
      </c>
      <c r="AF80" s="3"/>
      <c r="AG80" t="s">
        <v>30</v>
      </c>
      <c r="AH80">
        <v>0</v>
      </c>
      <c r="AI80" s="3"/>
    </row>
    <row r="81" spans="1:35" ht="15" x14ac:dyDescent="0.25">
      <c r="A81" t="s">
        <v>286</v>
      </c>
      <c r="B81" t="s">
        <v>287</v>
      </c>
      <c r="C81" t="s">
        <v>288</v>
      </c>
      <c r="D81" s="3">
        <v>1568.58</v>
      </c>
      <c r="E81" t="s">
        <v>289</v>
      </c>
      <c r="F81" t="s">
        <v>30</v>
      </c>
      <c r="G81">
        <v>12</v>
      </c>
      <c r="H81" s="3">
        <f>(0*3)+(1593.93*9)</f>
        <v>14345.37</v>
      </c>
      <c r="I81" t="s">
        <v>30</v>
      </c>
      <c r="J81">
        <v>12</v>
      </c>
      <c r="K81" s="3">
        <f>(1593.93*3)+(1641.75*9)</f>
        <v>19557.54</v>
      </c>
      <c r="L81" t="s">
        <v>30</v>
      </c>
      <c r="M81">
        <v>12</v>
      </c>
      <c r="N81" s="3">
        <f>(1641.75*3)+(1691.01*9)</f>
        <v>20144.34</v>
      </c>
      <c r="O81" t="s">
        <v>30</v>
      </c>
      <c r="P81">
        <v>12</v>
      </c>
      <c r="Q81" s="3">
        <f>(1691.01*3)+(1741.73*9)</f>
        <v>20748.599999999999</v>
      </c>
      <c r="R81" t="s">
        <v>30</v>
      </c>
      <c r="S81">
        <v>12</v>
      </c>
      <c r="T81" s="3">
        <f>(1741.73*3)+(1793.89*9)</f>
        <v>21370.2</v>
      </c>
      <c r="U81" t="s">
        <v>30</v>
      </c>
      <c r="V81">
        <v>12</v>
      </c>
      <c r="W81" s="3">
        <f>(1793.89*3)+(1847.8*9)</f>
        <v>22011.870000000003</v>
      </c>
      <c r="X81" t="s">
        <v>30</v>
      </c>
      <c r="Y81">
        <v>3</v>
      </c>
      <c r="Z81" s="3">
        <f>(1847.8*3)</f>
        <v>5543.4</v>
      </c>
      <c r="AA81" t="s">
        <v>30</v>
      </c>
      <c r="AB81">
        <v>0</v>
      </c>
      <c r="AC81" s="3"/>
      <c r="AD81" t="s">
        <v>30</v>
      </c>
      <c r="AE81">
        <v>0</v>
      </c>
      <c r="AF81" s="3"/>
      <c r="AG81" t="s">
        <v>30</v>
      </c>
      <c r="AH81">
        <v>0</v>
      </c>
      <c r="AI81" s="3"/>
    </row>
    <row r="82" spans="1:35" ht="15" x14ac:dyDescent="0.25">
      <c r="A82" t="s">
        <v>290</v>
      </c>
      <c r="B82" t="s">
        <v>291</v>
      </c>
      <c r="C82" t="s">
        <v>292</v>
      </c>
      <c r="D82" s="3">
        <v>1122.7</v>
      </c>
      <c r="E82" t="s">
        <v>293</v>
      </c>
      <c r="F82" t="s">
        <v>30</v>
      </c>
      <c r="G82">
        <v>0</v>
      </c>
      <c r="H82" s="3"/>
      <c r="I82" t="s">
        <v>30</v>
      </c>
      <c r="J82">
        <v>0</v>
      </c>
      <c r="K82" s="3"/>
      <c r="L82" t="s">
        <v>30</v>
      </c>
      <c r="M82">
        <v>0</v>
      </c>
      <c r="N82" s="3"/>
      <c r="O82" t="s">
        <v>30</v>
      </c>
      <c r="P82">
        <v>0</v>
      </c>
      <c r="Q82" s="3"/>
      <c r="R82" t="s">
        <v>30</v>
      </c>
      <c r="S82">
        <v>0</v>
      </c>
      <c r="T82" s="3"/>
      <c r="U82" t="s">
        <v>30</v>
      </c>
      <c r="V82">
        <v>0</v>
      </c>
      <c r="W82" s="3"/>
      <c r="X82" t="s">
        <v>30</v>
      </c>
      <c r="Y82">
        <v>0</v>
      </c>
      <c r="Z82" s="3"/>
      <c r="AA82" t="s">
        <v>30</v>
      </c>
      <c r="AB82">
        <v>0</v>
      </c>
      <c r="AC82" s="3"/>
      <c r="AD82" t="s">
        <v>30</v>
      </c>
      <c r="AE82">
        <v>0</v>
      </c>
      <c r="AF82" s="3"/>
      <c r="AG82" t="s">
        <v>30</v>
      </c>
      <c r="AH82">
        <v>0</v>
      </c>
      <c r="AI82" s="3"/>
    </row>
    <row r="83" spans="1:35" ht="15" x14ac:dyDescent="0.25">
      <c r="A83" t="s">
        <v>294</v>
      </c>
      <c r="B83" t="s">
        <v>295</v>
      </c>
      <c r="C83" t="s">
        <v>296</v>
      </c>
      <c r="D83" s="3">
        <v>674.4</v>
      </c>
      <c r="E83" t="s">
        <v>297</v>
      </c>
      <c r="F83" t="s">
        <v>30</v>
      </c>
      <c r="G83">
        <v>12</v>
      </c>
      <c r="H83" s="3">
        <f>(674.4*2)+(756*10)</f>
        <v>8908.7999999999993</v>
      </c>
      <c r="I83" t="s">
        <v>30</v>
      </c>
      <c r="J83">
        <v>12</v>
      </c>
      <c r="K83" s="3">
        <f>(756*2)+(778.68*10)</f>
        <v>9298.7999999999993</v>
      </c>
      <c r="L83" t="s">
        <v>30</v>
      </c>
      <c r="M83">
        <v>12</v>
      </c>
      <c r="N83" s="3">
        <f>(778.68*2)+(802.04*10)</f>
        <v>9577.76</v>
      </c>
      <c r="O83" t="s">
        <v>30</v>
      </c>
      <c r="P83">
        <v>12</v>
      </c>
      <c r="Q83" s="3">
        <f>(802.04*2)+(826.1*10)</f>
        <v>9865.08</v>
      </c>
      <c r="R83" t="s">
        <v>30</v>
      </c>
      <c r="S83">
        <v>12</v>
      </c>
      <c r="T83" s="3">
        <f>(826.1*2)+(850.88*10)</f>
        <v>10161</v>
      </c>
      <c r="U83" t="s">
        <v>30</v>
      </c>
      <c r="V83">
        <v>2</v>
      </c>
      <c r="W83" s="3">
        <f>(850.88*2)</f>
        <v>1701.76</v>
      </c>
      <c r="X83" t="s">
        <v>30</v>
      </c>
      <c r="Y83">
        <v>0</v>
      </c>
      <c r="Z83" s="3"/>
      <c r="AA83" t="s">
        <v>30</v>
      </c>
      <c r="AB83">
        <v>0</v>
      </c>
      <c r="AC83" s="3"/>
      <c r="AD83" t="s">
        <v>30</v>
      </c>
      <c r="AE83">
        <v>0</v>
      </c>
      <c r="AF83" s="3"/>
      <c r="AG83" t="s">
        <v>30</v>
      </c>
      <c r="AH83">
        <v>0</v>
      </c>
      <c r="AI83" s="3"/>
    </row>
    <row r="84" spans="1:35" ht="15" x14ac:dyDescent="0.25">
      <c r="A84" t="s">
        <v>298</v>
      </c>
      <c r="B84" t="s">
        <v>299</v>
      </c>
      <c r="C84" t="s">
        <v>300</v>
      </c>
      <c r="D84" s="3">
        <v>8300</v>
      </c>
      <c r="E84" t="s">
        <v>301</v>
      </c>
      <c r="F84" t="s">
        <v>30</v>
      </c>
      <c r="G84">
        <v>12</v>
      </c>
      <c r="H84" s="3">
        <f>(8300*12)</f>
        <v>99600</v>
      </c>
      <c r="I84" t="s">
        <v>30</v>
      </c>
      <c r="J84">
        <v>12</v>
      </c>
      <c r="K84" s="3">
        <f>(8300*12)</f>
        <v>99600</v>
      </c>
      <c r="L84" t="s">
        <v>30</v>
      </c>
      <c r="M84">
        <v>12</v>
      </c>
      <c r="N84" s="3">
        <f>(8300*12)</f>
        <v>99600</v>
      </c>
      <c r="O84" t="s">
        <v>30</v>
      </c>
      <c r="P84">
        <v>12</v>
      </c>
      <c r="Q84" s="3">
        <f>(8300*12)</f>
        <v>99600</v>
      </c>
      <c r="R84" t="s">
        <v>30</v>
      </c>
      <c r="S84">
        <v>12</v>
      </c>
      <c r="T84" s="3">
        <f>(8300*12)</f>
        <v>99600</v>
      </c>
      <c r="U84" t="s">
        <v>30</v>
      </c>
      <c r="V84">
        <v>12</v>
      </c>
      <c r="W84" s="3">
        <f>(8300*12)</f>
        <v>99600</v>
      </c>
      <c r="X84" t="s">
        <v>30</v>
      </c>
      <c r="Y84">
        <v>60</v>
      </c>
      <c r="Z84" s="3">
        <f>(8300*60)</f>
        <v>498000</v>
      </c>
      <c r="AA84" t="s">
        <v>30</v>
      </c>
      <c r="AB84">
        <v>60</v>
      </c>
      <c r="AC84" s="3">
        <f>(8300*60)</f>
        <v>498000</v>
      </c>
      <c r="AD84" t="s">
        <v>30</v>
      </c>
      <c r="AE84">
        <v>60</v>
      </c>
      <c r="AF84" s="3">
        <f>(8300*60)</f>
        <v>498000</v>
      </c>
      <c r="AG84" t="s">
        <v>30</v>
      </c>
      <c r="AH84">
        <v>86</v>
      </c>
      <c r="AI84" s="3">
        <f>(8300*86)</f>
        <v>713800</v>
      </c>
    </row>
    <row r="85" spans="1:35" ht="15" x14ac:dyDescent="0.25">
      <c r="A85" t="s">
        <v>302</v>
      </c>
      <c r="B85" t="s">
        <v>303</v>
      </c>
      <c r="C85" t="s">
        <v>304</v>
      </c>
      <c r="D85" s="3">
        <v>2250.6</v>
      </c>
      <c r="E85" t="s">
        <v>20</v>
      </c>
      <c r="F85" t="s">
        <v>30</v>
      </c>
      <c r="G85">
        <v>12</v>
      </c>
      <c r="H85" s="3">
        <f>(2250.6*12)</f>
        <v>27007.199999999997</v>
      </c>
      <c r="I85" t="s">
        <v>30</v>
      </c>
      <c r="J85">
        <v>12</v>
      </c>
      <c r="K85" s="3">
        <f>(2250.6*12)</f>
        <v>27007.199999999997</v>
      </c>
      <c r="L85" t="s">
        <v>30</v>
      </c>
      <c r="M85">
        <v>12</v>
      </c>
      <c r="N85" s="3">
        <f>(2250.6*12)</f>
        <v>27007.199999999997</v>
      </c>
      <c r="O85" t="s">
        <v>30</v>
      </c>
      <c r="P85">
        <v>12</v>
      </c>
      <c r="Q85" s="3">
        <f>(2250.6*12)</f>
        <v>27007.199999999997</v>
      </c>
      <c r="R85" t="s">
        <v>30</v>
      </c>
      <c r="S85">
        <v>0</v>
      </c>
      <c r="T85" s="3"/>
      <c r="U85" t="s">
        <v>30</v>
      </c>
      <c r="V85">
        <v>0</v>
      </c>
      <c r="W85" s="3"/>
      <c r="X85" t="s">
        <v>30</v>
      </c>
      <c r="Y85">
        <v>0</v>
      </c>
      <c r="Z85" s="3"/>
      <c r="AA85" t="s">
        <v>30</v>
      </c>
      <c r="AB85">
        <v>0</v>
      </c>
      <c r="AC85" s="3"/>
      <c r="AD85" t="s">
        <v>30</v>
      </c>
      <c r="AE85">
        <v>0</v>
      </c>
      <c r="AF85" s="3"/>
      <c r="AG85" t="s">
        <v>30</v>
      </c>
      <c r="AH85">
        <v>0</v>
      </c>
      <c r="AI85" s="3"/>
    </row>
    <row r="86" spans="1:35" ht="15" x14ac:dyDescent="0.25">
      <c r="A86" t="s">
        <v>305</v>
      </c>
      <c r="B86" t="s">
        <v>306</v>
      </c>
      <c r="C86" t="s">
        <v>307</v>
      </c>
      <c r="D86" s="3">
        <v>6743.09</v>
      </c>
      <c r="E86" t="s">
        <v>308</v>
      </c>
      <c r="F86" t="s">
        <v>30</v>
      </c>
      <c r="G86">
        <v>12</v>
      </c>
      <c r="H86" s="3">
        <f>(6743.09*12)</f>
        <v>80917.08</v>
      </c>
      <c r="I86" t="s">
        <v>30</v>
      </c>
      <c r="J86">
        <v>12</v>
      </c>
      <c r="K86" s="3">
        <f>(6743.09*12)</f>
        <v>80917.08</v>
      </c>
      <c r="L86" t="s">
        <v>30</v>
      </c>
      <c r="M86">
        <v>12</v>
      </c>
      <c r="N86" s="3">
        <f>(6743.09*12)</f>
        <v>80917.08</v>
      </c>
      <c r="O86" t="s">
        <v>30</v>
      </c>
      <c r="P86">
        <v>12</v>
      </c>
      <c r="Q86" s="3">
        <f>(6743.09*12)</f>
        <v>80917.08</v>
      </c>
      <c r="R86" t="s">
        <v>30</v>
      </c>
      <c r="S86">
        <v>1</v>
      </c>
      <c r="T86" s="3">
        <f>(6743.09*1)</f>
        <v>6743.09</v>
      </c>
      <c r="U86" t="s">
        <v>30</v>
      </c>
      <c r="V86">
        <v>0</v>
      </c>
      <c r="W86" s="3"/>
      <c r="X86" t="s">
        <v>30</v>
      </c>
      <c r="Y86">
        <v>0</v>
      </c>
      <c r="Z86" s="3"/>
      <c r="AA86" t="s">
        <v>30</v>
      </c>
      <c r="AB86">
        <v>0</v>
      </c>
      <c r="AC86" s="3"/>
      <c r="AD86" t="s">
        <v>30</v>
      </c>
      <c r="AE86">
        <v>0</v>
      </c>
      <c r="AF86" s="3"/>
      <c r="AG86" t="s">
        <v>30</v>
      </c>
      <c r="AH86">
        <v>0</v>
      </c>
      <c r="AI86" s="3"/>
    </row>
    <row r="87" spans="1:35" ht="15" x14ac:dyDescent="0.25">
      <c r="A87" t="s">
        <v>309</v>
      </c>
      <c r="B87" t="s">
        <v>310</v>
      </c>
      <c r="C87" t="s">
        <v>311</v>
      </c>
      <c r="D87" s="3">
        <v>975</v>
      </c>
      <c r="E87" t="s">
        <v>312</v>
      </c>
      <c r="F87" t="s">
        <v>30</v>
      </c>
      <c r="G87">
        <v>12</v>
      </c>
      <c r="H87" s="3">
        <f>(975*1)+(1000*11)</f>
        <v>11975</v>
      </c>
      <c r="I87" t="s">
        <v>30</v>
      </c>
      <c r="J87">
        <v>1</v>
      </c>
      <c r="K87" s="3">
        <f>(1000*1)</f>
        <v>1000</v>
      </c>
      <c r="L87" t="s">
        <v>30</v>
      </c>
      <c r="M87">
        <v>0</v>
      </c>
      <c r="N87" s="3"/>
      <c r="O87" t="s">
        <v>30</v>
      </c>
      <c r="P87">
        <v>0</v>
      </c>
      <c r="Q87" s="3"/>
      <c r="R87" t="s">
        <v>30</v>
      </c>
      <c r="S87">
        <v>0</v>
      </c>
      <c r="T87" s="3"/>
      <c r="U87" t="s">
        <v>30</v>
      </c>
      <c r="V87">
        <v>0</v>
      </c>
      <c r="W87" s="3"/>
      <c r="X87" t="s">
        <v>30</v>
      </c>
      <c r="Y87">
        <v>0</v>
      </c>
      <c r="Z87" s="3"/>
      <c r="AA87" t="s">
        <v>30</v>
      </c>
      <c r="AB87">
        <v>0</v>
      </c>
      <c r="AC87" s="3"/>
      <c r="AD87" t="s">
        <v>30</v>
      </c>
      <c r="AE87">
        <v>0</v>
      </c>
      <c r="AF87" s="3"/>
      <c r="AG87" t="s">
        <v>30</v>
      </c>
      <c r="AH87">
        <v>0</v>
      </c>
      <c r="AI87" s="3"/>
    </row>
    <row r="88" spans="1:35" ht="15" x14ac:dyDescent="0.25">
      <c r="A88" t="s">
        <v>313</v>
      </c>
      <c r="B88" t="s">
        <v>314</v>
      </c>
      <c r="C88" t="s">
        <v>315</v>
      </c>
      <c r="D88" s="3">
        <v>11628.9</v>
      </c>
      <c r="E88" t="s">
        <v>316</v>
      </c>
      <c r="F88" t="s">
        <v>30</v>
      </c>
      <c r="G88">
        <v>12</v>
      </c>
      <c r="H88" s="3">
        <f>(5454.48*3)+(11618.9*9)</f>
        <v>120933.54</v>
      </c>
      <c r="I88" t="s">
        <v>30</v>
      </c>
      <c r="J88">
        <v>12</v>
      </c>
      <c r="K88" s="3">
        <f>(11618.9*12)</f>
        <v>139426.79999999999</v>
      </c>
      <c r="L88" t="s">
        <v>30</v>
      </c>
      <c r="M88">
        <v>12</v>
      </c>
      <c r="N88" s="3">
        <f>(11618.9*12)</f>
        <v>139426.79999999999</v>
      </c>
      <c r="O88" t="s">
        <v>30</v>
      </c>
      <c r="P88">
        <v>12</v>
      </c>
      <c r="Q88" s="3">
        <f>(11618.9*12)</f>
        <v>139426.79999999999</v>
      </c>
      <c r="R88" t="s">
        <v>30</v>
      </c>
      <c r="S88">
        <v>12</v>
      </c>
      <c r="T88" s="3">
        <f>(11618.9*12)</f>
        <v>139426.79999999999</v>
      </c>
      <c r="U88" t="s">
        <v>30</v>
      </c>
      <c r="V88">
        <v>12</v>
      </c>
      <c r="W88" s="3">
        <f>(11618.9*12)</f>
        <v>139426.79999999999</v>
      </c>
      <c r="X88" t="s">
        <v>30</v>
      </c>
      <c r="Y88">
        <v>60</v>
      </c>
      <c r="Z88" s="3">
        <f>(11618.9*60)</f>
        <v>697134</v>
      </c>
      <c r="AA88" t="s">
        <v>30</v>
      </c>
      <c r="AB88">
        <v>60</v>
      </c>
      <c r="AC88" s="3">
        <f>(11618.9*60)</f>
        <v>697134</v>
      </c>
      <c r="AD88" t="s">
        <v>30</v>
      </c>
      <c r="AE88">
        <v>17</v>
      </c>
      <c r="AF88" s="3">
        <f>(11618.9*17)</f>
        <v>197521.3</v>
      </c>
      <c r="AG88" t="s">
        <v>30</v>
      </c>
      <c r="AH88">
        <v>0</v>
      </c>
      <c r="AI88" s="3"/>
    </row>
    <row r="89" spans="1:35" ht="15" x14ac:dyDescent="0.25">
      <c r="A89" t="s">
        <v>317</v>
      </c>
      <c r="B89" t="s">
        <v>318</v>
      </c>
      <c r="C89" t="s">
        <v>319</v>
      </c>
      <c r="D89" s="3">
        <v>1300</v>
      </c>
      <c r="E89" t="s">
        <v>152</v>
      </c>
      <c r="F89" t="s">
        <v>30</v>
      </c>
      <c r="G89">
        <v>12</v>
      </c>
      <c r="H89" s="3">
        <f>(1275*2)+(1300*10)</f>
        <v>15550</v>
      </c>
      <c r="I89" t="s">
        <v>30</v>
      </c>
      <c r="J89">
        <v>2</v>
      </c>
      <c r="K89" s="3">
        <f>(1300*2)</f>
        <v>2600</v>
      </c>
      <c r="L89" t="s">
        <v>30</v>
      </c>
      <c r="M89">
        <v>0</v>
      </c>
      <c r="N89" s="3"/>
      <c r="O89" t="s">
        <v>30</v>
      </c>
      <c r="P89">
        <v>0</v>
      </c>
      <c r="Q89" s="3"/>
      <c r="R89" t="s">
        <v>30</v>
      </c>
      <c r="S89">
        <v>0</v>
      </c>
      <c r="T89" s="3"/>
      <c r="U89" t="s">
        <v>30</v>
      </c>
      <c r="V89">
        <v>0</v>
      </c>
      <c r="W89" s="3"/>
      <c r="X89" t="s">
        <v>30</v>
      </c>
      <c r="Y89">
        <v>0</v>
      </c>
      <c r="Z89" s="3"/>
      <c r="AA89" t="s">
        <v>30</v>
      </c>
      <c r="AB89">
        <v>0</v>
      </c>
      <c r="AC89" s="3"/>
      <c r="AD89" t="s">
        <v>30</v>
      </c>
      <c r="AE89">
        <v>0</v>
      </c>
      <c r="AF89" s="3"/>
      <c r="AG89" t="s">
        <v>30</v>
      </c>
      <c r="AH89">
        <v>0</v>
      </c>
      <c r="AI89" s="3"/>
    </row>
    <row r="90" spans="1:35" ht="15" x14ac:dyDescent="0.25">
      <c r="A90" t="s">
        <v>320</v>
      </c>
      <c r="B90" t="s">
        <v>321</v>
      </c>
      <c r="C90" t="s">
        <v>322</v>
      </c>
      <c r="D90" s="3">
        <v>1075</v>
      </c>
      <c r="E90" t="s">
        <v>323</v>
      </c>
      <c r="F90" t="s">
        <v>30</v>
      </c>
      <c r="G90">
        <v>12</v>
      </c>
      <c r="H90" s="3">
        <f>(1050*4)+(1075*8)</f>
        <v>12800</v>
      </c>
      <c r="I90" t="s">
        <v>30</v>
      </c>
      <c r="J90">
        <v>4</v>
      </c>
      <c r="K90" s="3">
        <f>(1075*4)</f>
        <v>4300</v>
      </c>
      <c r="L90" t="s">
        <v>30</v>
      </c>
      <c r="M90">
        <v>0</v>
      </c>
      <c r="N90" s="3"/>
      <c r="O90" t="s">
        <v>30</v>
      </c>
      <c r="P90">
        <v>0</v>
      </c>
      <c r="Q90" s="3"/>
      <c r="R90" t="s">
        <v>30</v>
      </c>
      <c r="S90">
        <v>0</v>
      </c>
      <c r="T90" s="3"/>
      <c r="U90" t="s">
        <v>30</v>
      </c>
      <c r="V90">
        <v>0</v>
      </c>
      <c r="W90" s="3"/>
      <c r="X90" t="s">
        <v>30</v>
      </c>
      <c r="Y90">
        <v>0</v>
      </c>
      <c r="Z90" s="3"/>
      <c r="AA90" t="s">
        <v>30</v>
      </c>
      <c r="AB90">
        <v>0</v>
      </c>
      <c r="AC90" s="3"/>
      <c r="AD90" t="s">
        <v>30</v>
      </c>
      <c r="AE90">
        <v>0</v>
      </c>
      <c r="AF90" s="3"/>
      <c r="AG90" t="s">
        <v>30</v>
      </c>
      <c r="AH90">
        <v>0</v>
      </c>
      <c r="AI90" s="3"/>
    </row>
    <row r="91" spans="1:35" ht="15" x14ac:dyDescent="0.25">
      <c r="A91" t="s">
        <v>324</v>
      </c>
      <c r="B91" t="s">
        <v>325</v>
      </c>
      <c r="C91" t="s">
        <v>326</v>
      </c>
      <c r="D91" s="3">
        <v>3464.13</v>
      </c>
      <c r="E91" t="s">
        <v>24</v>
      </c>
      <c r="F91" t="s">
        <v>30</v>
      </c>
      <c r="G91">
        <v>12</v>
      </c>
      <c r="H91" s="3">
        <f>(3464.13*12)</f>
        <v>41569.56</v>
      </c>
      <c r="I91" t="s">
        <v>30</v>
      </c>
      <c r="J91">
        <v>12</v>
      </c>
      <c r="K91" s="3">
        <f>(3464.13*12)</f>
        <v>41569.56</v>
      </c>
      <c r="L91" t="s">
        <v>30</v>
      </c>
      <c r="M91">
        <v>12</v>
      </c>
      <c r="N91" s="3">
        <f>(3464.13*12)</f>
        <v>41569.56</v>
      </c>
      <c r="O91" t="s">
        <v>30</v>
      </c>
      <c r="P91">
        <v>12</v>
      </c>
      <c r="Q91" s="3">
        <f>(3464.13*12)</f>
        <v>41569.56</v>
      </c>
      <c r="R91" t="s">
        <v>30</v>
      </c>
      <c r="S91">
        <v>12</v>
      </c>
      <c r="T91" s="3">
        <f>(3464.13*12)</f>
        <v>41569.56</v>
      </c>
      <c r="U91" t="s">
        <v>30</v>
      </c>
      <c r="V91">
        <v>12</v>
      </c>
      <c r="W91" s="3">
        <f>(3464.13*12)</f>
        <v>41569.56</v>
      </c>
      <c r="X91" t="s">
        <v>30</v>
      </c>
      <c r="Y91">
        <v>60</v>
      </c>
      <c r="Z91" s="3">
        <f>(3464.13*60)</f>
        <v>207847.80000000002</v>
      </c>
      <c r="AA91" t="s">
        <v>30</v>
      </c>
      <c r="AB91">
        <v>60</v>
      </c>
      <c r="AC91" s="3">
        <f>(3464.13*60)</f>
        <v>207847.80000000002</v>
      </c>
      <c r="AD91" t="s">
        <v>30</v>
      </c>
      <c r="AE91">
        <v>0</v>
      </c>
      <c r="AF91" s="3"/>
      <c r="AG91" t="s">
        <v>30</v>
      </c>
      <c r="AH91">
        <v>0</v>
      </c>
      <c r="AI91" s="3"/>
    </row>
    <row r="92" spans="1:35" ht="15" x14ac:dyDescent="0.25">
      <c r="A92" t="s">
        <v>327</v>
      </c>
      <c r="B92" t="s">
        <v>328</v>
      </c>
      <c r="C92" t="s">
        <v>329</v>
      </c>
      <c r="D92" s="3">
        <v>14549.54</v>
      </c>
      <c r="E92" t="s">
        <v>160</v>
      </c>
      <c r="F92" t="s">
        <v>30</v>
      </c>
      <c r="G92">
        <v>12</v>
      </c>
      <c r="H92" s="3">
        <f>(14549.54*12)</f>
        <v>174594.48</v>
      </c>
      <c r="I92" t="s">
        <v>30</v>
      </c>
      <c r="J92">
        <v>6</v>
      </c>
      <c r="K92" s="3">
        <f>(14549.54*6)</f>
        <v>87297.24</v>
      </c>
      <c r="L92" t="s">
        <v>30</v>
      </c>
      <c r="M92">
        <v>0</v>
      </c>
      <c r="N92" s="3"/>
      <c r="O92" t="s">
        <v>30</v>
      </c>
      <c r="P92">
        <v>0</v>
      </c>
      <c r="Q92" s="3"/>
      <c r="R92" t="s">
        <v>30</v>
      </c>
      <c r="S92">
        <v>0</v>
      </c>
      <c r="T92" s="3"/>
      <c r="U92" t="s">
        <v>30</v>
      </c>
      <c r="V92">
        <v>0</v>
      </c>
      <c r="W92" s="3"/>
      <c r="X92" t="s">
        <v>30</v>
      </c>
      <c r="Y92">
        <v>0</v>
      </c>
      <c r="Z92" s="3"/>
      <c r="AA92" t="s">
        <v>30</v>
      </c>
      <c r="AB92">
        <v>0</v>
      </c>
      <c r="AC92" s="3"/>
      <c r="AD92" t="s">
        <v>30</v>
      </c>
      <c r="AE92">
        <v>0</v>
      </c>
      <c r="AF92" s="3"/>
      <c r="AG92" t="s">
        <v>30</v>
      </c>
      <c r="AH92">
        <v>0</v>
      </c>
      <c r="AI92" s="3"/>
    </row>
    <row r="93" spans="1:35" ht="15" x14ac:dyDescent="0.25">
      <c r="A93" t="s">
        <v>330</v>
      </c>
      <c r="B93" t="s">
        <v>331</v>
      </c>
      <c r="C93" t="s">
        <v>332</v>
      </c>
      <c r="D93" s="3">
        <v>15772.62</v>
      </c>
      <c r="E93" t="s">
        <v>21</v>
      </c>
      <c r="F93" t="s">
        <v>30</v>
      </c>
      <c r="G93">
        <v>12</v>
      </c>
      <c r="H93" s="3">
        <f>(15570.2*4)+(15772.62*8)</f>
        <v>188461.76</v>
      </c>
      <c r="I93" t="s">
        <v>30</v>
      </c>
      <c r="J93">
        <v>12</v>
      </c>
      <c r="K93" s="3">
        <f>(15772.62*12)</f>
        <v>189271.44</v>
      </c>
      <c r="L93" t="s">
        <v>30</v>
      </c>
      <c r="M93">
        <v>12</v>
      </c>
      <c r="N93" s="3">
        <f>(15772.62*12)</f>
        <v>189271.44</v>
      </c>
      <c r="O93" t="s">
        <v>30</v>
      </c>
      <c r="P93">
        <v>12</v>
      </c>
      <c r="Q93" s="3">
        <f>(15772.62*12)</f>
        <v>189271.44</v>
      </c>
      <c r="R93" t="s">
        <v>30</v>
      </c>
      <c r="S93">
        <v>12</v>
      </c>
      <c r="T93" s="3">
        <f>(15772.62*12)</f>
        <v>189271.44</v>
      </c>
      <c r="U93" t="s">
        <v>30</v>
      </c>
      <c r="V93">
        <v>0</v>
      </c>
      <c r="W93" s="3"/>
      <c r="X93" t="s">
        <v>30</v>
      </c>
      <c r="Y93">
        <v>0</v>
      </c>
      <c r="Z93" s="3"/>
      <c r="AA93" t="s">
        <v>30</v>
      </c>
      <c r="AB93">
        <v>0</v>
      </c>
      <c r="AC93" s="3"/>
      <c r="AD93" t="s">
        <v>30</v>
      </c>
      <c r="AE93">
        <v>0</v>
      </c>
      <c r="AF93" s="3"/>
      <c r="AG93" t="s">
        <v>30</v>
      </c>
      <c r="AH93">
        <v>0</v>
      </c>
      <c r="AI93" s="3"/>
    </row>
    <row r="94" spans="1:35" ht="15" x14ac:dyDescent="0.25">
      <c r="A94" t="s">
        <v>333</v>
      </c>
      <c r="B94" t="s">
        <v>334</v>
      </c>
      <c r="C94" t="s">
        <v>335</v>
      </c>
      <c r="D94" s="3">
        <v>6434.17</v>
      </c>
      <c r="E94" t="s">
        <v>21</v>
      </c>
      <c r="F94" t="s">
        <v>30</v>
      </c>
      <c r="G94">
        <v>12</v>
      </c>
      <c r="H94" s="3">
        <f>(6353.43*3)+(6434.17*9)</f>
        <v>76967.820000000007</v>
      </c>
      <c r="I94" t="s">
        <v>30</v>
      </c>
      <c r="J94">
        <v>12</v>
      </c>
      <c r="K94" s="3">
        <f>(6434.17*12)</f>
        <v>77210.040000000008</v>
      </c>
      <c r="L94" t="s">
        <v>30</v>
      </c>
      <c r="M94">
        <v>12</v>
      </c>
      <c r="N94" s="3">
        <f>(6434.17*12)</f>
        <v>77210.040000000008</v>
      </c>
      <c r="O94" t="s">
        <v>30</v>
      </c>
      <c r="P94">
        <v>12</v>
      </c>
      <c r="Q94" s="3">
        <f>(6434.17*12)</f>
        <v>77210.040000000008</v>
      </c>
      <c r="R94" t="s">
        <v>30</v>
      </c>
      <c r="S94">
        <v>12</v>
      </c>
      <c r="T94" s="3">
        <f>(6434.17*12)</f>
        <v>77210.040000000008</v>
      </c>
      <c r="U94" t="s">
        <v>30</v>
      </c>
      <c r="V94">
        <v>0</v>
      </c>
      <c r="W94" s="3"/>
      <c r="X94" t="s">
        <v>30</v>
      </c>
      <c r="Y94">
        <v>0</v>
      </c>
      <c r="Z94" s="3"/>
      <c r="AA94" t="s">
        <v>30</v>
      </c>
      <c r="AB94">
        <v>0</v>
      </c>
      <c r="AC94" s="3"/>
      <c r="AD94" t="s">
        <v>30</v>
      </c>
      <c r="AE94">
        <v>0</v>
      </c>
      <c r="AF94" s="3"/>
      <c r="AG94" t="s">
        <v>30</v>
      </c>
      <c r="AH94">
        <v>0</v>
      </c>
      <c r="AI94" s="3"/>
    </row>
    <row r="95" spans="1:35" ht="15" x14ac:dyDescent="0.25">
      <c r="A95" t="s">
        <v>336</v>
      </c>
      <c r="B95" t="s">
        <v>337</v>
      </c>
      <c r="C95" t="s">
        <v>338</v>
      </c>
      <c r="D95" s="3">
        <v>10236.6</v>
      </c>
      <c r="E95" t="s">
        <v>339</v>
      </c>
      <c r="F95" t="s">
        <v>30</v>
      </c>
      <c r="G95">
        <v>12</v>
      </c>
      <c r="H95" s="3">
        <f>(10236.6*12)</f>
        <v>122839.20000000001</v>
      </c>
      <c r="I95" t="s">
        <v>30</v>
      </c>
      <c r="J95">
        <v>12</v>
      </c>
      <c r="K95" s="3">
        <f>(10236.6*12)</f>
        <v>122839.20000000001</v>
      </c>
      <c r="L95" t="s">
        <v>30</v>
      </c>
      <c r="M95">
        <v>12</v>
      </c>
      <c r="N95" s="3">
        <f>(10236.6*12)</f>
        <v>122839.20000000001</v>
      </c>
      <c r="O95" t="s">
        <v>30</v>
      </c>
      <c r="P95">
        <v>12</v>
      </c>
      <c r="Q95" s="3">
        <f>(10236.6*12)</f>
        <v>122839.20000000001</v>
      </c>
      <c r="R95" t="s">
        <v>30</v>
      </c>
      <c r="S95">
        <v>12</v>
      </c>
      <c r="T95" s="3">
        <f>(10236.6*12)</f>
        <v>122839.20000000001</v>
      </c>
      <c r="U95" t="s">
        <v>30</v>
      </c>
      <c r="V95">
        <v>12</v>
      </c>
      <c r="W95" s="3">
        <f>(10236.6*12)</f>
        <v>122839.20000000001</v>
      </c>
      <c r="X95" t="s">
        <v>30</v>
      </c>
      <c r="Y95">
        <v>60</v>
      </c>
      <c r="Z95" s="3">
        <f>(10236.6*60)</f>
        <v>614196</v>
      </c>
      <c r="AA95" t="s">
        <v>30</v>
      </c>
      <c r="AB95">
        <v>60</v>
      </c>
      <c r="AC95" s="3">
        <f>(10236.6*60)</f>
        <v>614196</v>
      </c>
      <c r="AD95" t="s">
        <v>30</v>
      </c>
      <c r="AE95">
        <v>40</v>
      </c>
      <c r="AF95" s="3">
        <f>(10236.6*40)</f>
        <v>409464</v>
      </c>
      <c r="AG95" t="s">
        <v>30</v>
      </c>
      <c r="AH95">
        <v>0</v>
      </c>
      <c r="AI95" s="3"/>
    </row>
    <row r="96" spans="1:35" ht="15" x14ac:dyDescent="0.25">
      <c r="A96" t="s">
        <v>340</v>
      </c>
      <c r="B96" t="s">
        <v>341</v>
      </c>
      <c r="C96" t="s">
        <v>342</v>
      </c>
      <c r="D96" s="3">
        <v>12015</v>
      </c>
      <c r="E96" t="s">
        <v>343</v>
      </c>
      <c r="F96" t="s">
        <v>30</v>
      </c>
      <c r="G96">
        <v>12</v>
      </c>
      <c r="H96" s="3">
        <f>(12015*5)+(13096.35*7)</f>
        <v>151749.45000000001</v>
      </c>
      <c r="I96" t="s">
        <v>30</v>
      </c>
      <c r="J96">
        <v>12</v>
      </c>
      <c r="K96" s="3">
        <f>(13096.35*12)</f>
        <v>157156.20000000001</v>
      </c>
      <c r="L96" t="s">
        <v>30</v>
      </c>
      <c r="M96">
        <v>12</v>
      </c>
      <c r="N96" s="3">
        <f>(13096.35*5)+(14275.02*7)</f>
        <v>165406.89000000001</v>
      </c>
      <c r="O96" t="s">
        <v>30</v>
      </c>
      <c r="P96">
        <v>12</v>
      </c>
      <c r="Q96" s="3">
        <f>(14275.02*12)</f>
        <v>171300.24</v>
      </c>
      <c r="R96" t="s">
        <v>30</v>
      </c>
      <c r="S96">
        <v>12</v>
      </c>
      <c r="T96" s="3">
        <f>(14275.02*12)</f>
        <v>171300.24</v>
      </c>
      <c r="U96" t="s">
        <v>30</v>
      </c>
      <c r="V96">
        <v>12</v>
      </c>
      <c r="W96" s="3">
        <f>(14275.02*5)+(15559.77*7)</f>
        <v>180293.49</v>
      </c>
      <c r="X96" t="s">
        <v>30</v>
      </c>
      <c r="Y96">
        <v>17</v>
      </c>
      <c r="Z96" s="3">
        <f>(15559.77*17)</f>
        <v>264516.09000000003</v>
      </c>
      <c r="AA96" t="s">
        <v>30</v>
      </c>
      <c r="AB96">
        <v>0</v>
      </c>
      <c r="AC96" s="3"/>
      <c r="AD96" t="s">
        <v>30</v>
      </c>
      <c r="AE96">
        <v>0</v>
      </c>
      <c r="AF96" s="3"/>
      <c r="AG96" t="s">
        <v>30</v>
      </c>
      <c r="AH96">
        <v>0</v>
      </c>
      <c r="AI96" s="3"/>
    </row>
    <row r="97" spans="1:35" ht="15" x14ac:dyDescent="0.25">
      <c r="A97" t="s">
        <v>344</v>
      </c>
      <c r="B97" t="s">
        <v>345</v>
      </c>
      <c r="C97" t="s">
        <v>346</v>
      </c>
      <c r="D97" s="3">
        <v>64.5</v>
      </c>
      <c r="E97" t="s">
        <v>347</v>
      </c>
      <c r="F97" t="s">
        <v>30</v>
      </c>
      <c r="G97">
        <v>12</v>
      </c>
      <c r="H97" s="3">
        <f>(64.5*12)</f>
        <v>774</v>
      </c>
      <c r="I97" t="s">
        <v>30</v>
      </c>
      <c r="J97">
        <v>12</v>
      </c>
      <c r="K97" s="3">
        <f>(64.5*12)</f>
        <v>774</v>
      </c>
      <c r="L97" t="s">
        <v>30</v>
      </c>
      <c r="M97">
        <v>12</v>
      </c>
      <c r="N97" s="3">
        <f>(64.5*12)</f>
        <v>774</v>
      </c>
      <c r="O97" t="s">
        <v>30</v>
      </c>
      <c r="P97">
        <v>3</v>
      </c>
      <c r="Q97" s="3">
        <f>(64.5*3)</f>
        <v>193.5</v>
      </c>
      <c r="R97" t="s">
        <v>30</v>
      </c>
      <c r="S97">
        <v>0</v>
      </c>
      <c r="T97" s="3"/>
      <c r="U97" t="s">
        <v>30</v>
      </c>
      <c r="V97">
        <v>0</v>
      </c>
      <c r="W97" s="3"/>
      <c r="X97" t="s">
        <v>30</v>
      </c>
      <c r="Y97">
        <v>0</v>
      </c>
      <c r="Z97" s="3"/>
      <c r="AA97" t="s">
        <v>30</v>
      </c>
      <c r="AB97">
        <v>0</v>
      </c>
      <c r="AC97" s="3"/>
      <c r="AD97" t="s">
        <v>30</v>
      </c>
      <c r="AE97">
        <v>0</v>
      </c>
      <c r="AF97" s="3"/>
      <c r="AG97" t="s">
        <v>30</v>
      </c>
      <c r="AH97">
        <v>0</v>
      </c>
      <c r="AI97" s="3"/>
    </row>
    <row r="98" spans="1:35" ht="15" x14ac:dyDescent="0.25">
      <c r="A98" t="s">
        <v>348</v>
      </c>
      <c r="B98" t="s">
        <v>349</v>
      </c>
      <c r="C98" t="s">
        <v>350</v>
      </c>
      <c r="D98" s="3">
        <v>10083.33</v>
      </c>
      <c r="E98" t="s">
        <v>301</v>
      </c>
      <c r="F98" t="s">
        <v>30</v>
      </c>
      <c r="G98">
        <v>12</v>
      </c>
      <c r="H98" s="3">
        <f>(10083.33*12)</f>
        <v>120999.95999999999</v>
      </c>
      <c r="I98" t="s">
        <v>30</v>
      </c>
      <c r="J98">
        <v>12</v>
      </c>
      <c r="K98" s="3">
        <f>(10083.33*12)</f>
        <v>120999.95999999999</v>
      </c>
      <c r="L98" t="s">
        <v>30</v>
      </c>
      <c r="M98">
        <v>12</v>
      </c>
      <c r="N98" s="3">
        <f>(10083.33*12)</f>
        <v>120999.95999999999</v>
      </c>
      <c r="O98" t="s">
        <v>30</v>
      </c>
      <c r="P98">
        <v>12</v>
      </c>
      <c r="Q98" s="3">
        <f>(10083.33*12)</f>
        <v>120999.95999999999</v>
      </c>
      <c r="R98" t="s">
        <v>30</v>
      </c>
      <c r="S98">
        <v>12</v>
      </c>
      <c r="T98" s="3">
        <f>(10083.33*12)</f>
        <v>120999.95999999999</v>
      </c>
      <c r="U98" t="s">
        <v>30</v>
      </c>
      <c r="V98">
        <v>12</v>
      </c>
      <c r="W98" s="3">
        <f>(10083.33*12)</f>
        <v>120999.95999999999</v>
      </c>
      <c r="X98" t="s">
        <v>30</v>
      </c>
      <c r="Y98">
        <v>60</v>
      </c>
      <c r="Z98" s="3">
        <f>(10083.33*60)</f>
        <v>604999.80000000005</v>
      </c>
      <c r="AA98" t="s">
        <v>30</v>
      </c>
      <c r="AB98">
        <v>60</v>
      </c>
      <c r="AC98" s="3">
        <f>(10083.33*60)</f>
        <v>604999.80000000005</v>
      </c>
      <c r="AD98" t="s">
        <v>30</v>
      </c>
      <c r="AE98">
        <v>60</v>
      </c>
      <c r="AF98" s="3">
        <f>(10083.33*60)</f>
        <v>604999.80000000005</v>
      </c>
      <c r="AG98" t="s">
        <v>30</v>
      </c>
      <c r="AH98">
        <v>86</v>
      </c>
      <c r="AI98" s="3">
        <f>(10083.33*86)</f>
        <v>867166.38</v>
      </c>
    </row>
    <row r="99" spans="1:35" ht="15" x14ac:dyDescent="0.25">
      <c r="A99" t="s">
        <v>351</v>
      </c>
      <c r="B99" t="s">
        <v>352</v>
      </c>
      <c r="C99" t="s">
        <v>353</v>
      </c>
      <c r="D99" s="3">
        <v>1174.4000000000001</v>
      </c>
      <c r="E99" t="s">
        <v>354</v>
      </c>
      <c r="F99" t="s">
        <v>30</v>
      </c>
      <c r="G99">
        <v>12</v>
      </c>
      <c r="H99" s="3">
        <f>(1174.4*12)</f>
        <v>14092.800000000001</v>
      </c>
      <c r="I99" t="s">
        <v>30</v>
      </c>
      <c r="J99">
        <v>12</v>
      </c>
      <c r="K99" s="3">
        <f>(1174.4*12)</f>
        <v>14092.800000000001</v>
      </c>
      <c r="L99" t="s">
        <v>30</v>
      </c>
      <c r="M99">
        <v>12</v>
      </c>
      <c r="N99" s="3">
        <f>(1174.4*12)</f>
        <v>14092.800000000001</v>
      </c>
      <c r="O99" t="s">
        <v>30</v>
      </c>
      <c r="P99">
        <v>12</v>
      </c>
      <c r="Q99" s="3">
        <f>(1174.4*12)</f>
        <v>14092.800000000001</v>
      </c>
      <c r="R99" t="s">
        <v>30</v>
      </c>
      <c r="S99">
        <v>12</v>
      </c>
      <c r="T99" s="3">
        <f>(1174.4*12)</f>
        <v>14092.800000000001</v>
      </c>
      <c r="U99" t="s">
        <v>30</v>
      </c>
      <c r="V99">
        <v>12</v>
      </c>
      <c r="W99" s="3">
        <f>(1174.4*12)</f>
        <v>14092.800000000001</v>
      </c>
      <c r="X99" t="s">
        <v>30</v>
      </c>
      <c r="Y99">
        <v>60</v>
      </c>
      <c r="Z99" s="3">
        <f>(1174.4*60)</f>
        <v>70464</v>
      </c>
      <c r="AA99" t="s">
        <v>30</v>
      </c>
      <c r="AB99">
        <v>60</v>
      </c>
      <c r="AC99" s="3">
        <f>(1174.4*60)</f>
        <v>70464</v>
      </c>
      <c r="AD99" t="s">
        <v>30</v>
      </c>
      <c r="AE99">
        <v>48</v>
      </c>
      <c r="AF99" s="3">
        <f>(1174.4*48)</f>
        <v>56371.200000000004</v>
      </c>
      <c r="AG99" t="s">
        <v>30</v>
      </c>
      <c r="AH99">
        <v>0</v>
      </c>
      <c r="AI99" s="3"/>
    </row>
    <row r="100" spans="1:35" ht="15" x14ac:dyDescent="0.25">
      <c r="A100" t="s">
        <v>355</v>
      </c>
      <c r="B100" t="s">
        <v>356</v>
      </c>
      <c r="C100" t="s">
        <v>357</v>
      </c>
      <c r="D100" s="3">
        <v>3041.68</v>
      </c>
      <c r="E100" t="s">
        <v>358</v>
      </c>
      <c r="F100" t="s">
        <v>30</v>
      </c>
      <c r="G100">
        <v>12</v>
      </c>
      <c r="H100" s="3">
        <f>(3041.68*12)</f>
        <v>36500.159999999996</v>
      </c>
      <c r="I100" t="s">
        <v>30</v>
      </c>
      <c r="J100">
        <v>9</v>
      </c>
      <c r="K100" s="3">
        <f>(3041.68*1)+(3041.65*8)</f>
        <v>27374.880000000001</v>
      </c>
      <c r="L100" t="s">
        <v>30</v>
      </c>
      <c r="M100">
        <v>0</v>
      </c>
      <c r="N100" s="3"/>
      <c r="O100" t="s">
        <v>30</v>
      </c>
      <c r="P100">
        <v>0</v>
      </c>
      <c r="Q100" s="3"/>
      <c r="R100" t="s">
        <v>30</v>
      </c>
      <c r="S100">
        <v>0</v>
      </c>
      <c r="T100" s="3"/>
      <c r="U100" t="s">
        <v>30</v>
      </c>
      <c r="V100">
        <v>0</v>
      </c>
      <c r="W100" s="3"/>
      <c r="X100" t="s">
        <v>30</v>
      </c>
      <c r="Y100">
        <v>0</v>
      </c>
      <c r="Z100" s="3"/>
      <c r="AA100" t="s">
        <v>30</v>
      </c>
      <c r="AB100">
        <v>0</v>
      </c>
      <c r="AC100" s="3"/>
      <c r="AD100" t="s">
        <v>30</v>
      </c>
      <c r="AE100">
        <v>0</v>
      </c>
      <c r="AF100" s="3"/>
      <c r="AG100" t="s">
        <v>30</v>
      </c>
      <c r="AH100">
        <v>0</v>
      </c>
      <c r="AI100" s="3"/>
    </row>
    <row r="101" spans="1:35" ht="15" x14ac:dyDescent="0.25">
      <c r="A101" t="s">
        <v>359</v>
      </c>
      <c r="B101" t="s">
        <v>360</v>
      </c>
      <c r="C101" t="s">
        <v>361</v>
      </c>
      <c r="D101" s="3">
        <v>24363.63</v>
      </c>
      <c r="E101" t="s">
        <v>362</v>
      </c>
      <c r="F101" t="s">
        <v>30</v>
      </c>
      <c r="G101">
        <v>12</v>
      </c>
      <c r="H101" s="3">
        <f>(24363.63*12)</f>
        <v>292363.56</v>
      </c>
      <c r="I101" t="s">
        <v>30</v>
      </c>
      <c r="J101">
        <v>12</v>
      </c>
      <c r="K101" s="3">
        <f>(24363.63*12)</f>
        <v>292363.56</v>
      </c>
      <c r="L101" t="s">
        <v>30</v>
      </c>
      <c r="M101">
        <v>12</v>
      </c>
      <c r="N101" s="3">
        <f>(24363.63*12)</f>
        <v>292363.56</v>
      </c>
      <c r="O101" t="s">
        <v>30</v>
      </c>
      <c r="P101">
        <v>12</v>
      </c>
      <c r="Q101" s="3">
        <f>(24363.63*12)</f>
        <v>292363.56</v>
      </c>
      <c r="R101" t="s">
        <v>30</v>
      </c>
      <c r="S101">
        <v>12</v>
      </c>
      <c r="T101" s="3">
        <f>(24363.63*12)</f>
        <v>292363.56</v>
      </c>
      <c r="U101" t="s">
        <v>30</v>
      </c>
      <c r="V101">
        <v>12</v>
      </c>
      <c r="W101" s="3">
        <f>(24363.63*12)</f>
        <v>292363.56</v>
      </c>
      <c r="X101" t="s">
        <v>30</v>
      </c>
      <c r="Y101">
        <v>60</v>
      </c>
      <c r="Z101" s="3">
        <f>(24363.63*60)</f>
        <v>1461817.8</v>
      </c>
      <c r="AA101" t="s">
        <v>30</v>
      </c>
      <c r="AB101">
        <v>41</v>
      </c>
      <c r="AC101" s="3">
        <f>(24363.63*41)</f>
        <v>998908.83000000007</v>
      </c>
      <c r="AD101" t="s">
        <v>30</v>
      </c>
      <c r="AE101">
        <v>0</v>
      </c>
      <c r="AF101" s="3"/>
      <c r="AG101" t="s">
        <v>30</v>
      </c>
      <c r="AH101">
        <v>0</v>
      </c>
      <c r="AI101" s="3"/>
    </row>
    <row r="102" spans="1:35" ht="15" x14ac:dyDescent="0.25">
      <c r="A102" t="s">
        <v>363</v>
      </c>
      <c r="B102" t="s">
        <v>364</v>
      </c>
      <c r="C102" t="s">
        <v>365</v>
      </c>
      <c r="D102" s="3">
        <v>1500</v>
      </c>
      <c r="E102" t="s">
        <v>366</v>
      </c>
      <c r="F102" t="s">
        <v>30</v>
      </c>
      <c r="G102">
        <v>12</v>
      </c>
      <c r="H102" s="3">
        <f>(1500*12)</f>
        <v>18000</v>
      </c>
      <c r="I102" t="s">
        <v>30</v>
      </c>
      <c r="J102">
        <v>8</v>
      </c>
      <c r="K102" s="3">
        <f>(1500*8)</f>
        <v>12000</v>
      </c>
      <c r="L102" t="s">
        <v>30</v>
      </c>
      <c r="M102">
        <v>0</v>
      </c>
      <c r="N102" s="3"/>
      <c r="O102" t="s">
        <v>30</v>
      </c>
      <c r="P102">
        <v>0</v>
      </c>
      <c r="Q102" s="3"/>
      <c r="R102" t="s">
        <v>30</v>
      </c>
      <c r="S102">
        <v>0</v>
      </c>
      <c r="T102" s="3"/>
      <c r="U102" t="s">
        <v>30</v>
      </c>
      <c r="V102">
        <v>0</v>
      </c>
      <c r="W102" s="3"/>
      <c r="X102" t="s">
        <v>30</v>
      </c>
      <c r="Y102">
        <v>0</v>
      </c>
      <c r="Z102" s="3"/>
      <c r="AA102" t="s">
        <v>30</v>
      </c>
      <c r="AB102">
        <v>0</v>
      </c>
      <c r="AC102" s="3"/>
      <c r="AD102" t="s">
        <v>30</v>
      </c>
      <c r="AE102">
        <v>0</v>
      </c>
      <c r="AF102" s="3"/>
      <c r="AG102" t="s">
        <v>30</v>
      </c>
      <c r="AH102">
        <v>0</v>
      </c>
      <c r="AI102" s="3"/>
    </row>
    <row r="103" spans="1:35" ht="15" x14ac:dyDescent="0.25">
      <c r="A103" t="s">
        <v>367</v>
      </c>
      <c r="B103" t="s">
        <v>368</v>
      </c>
      <c r="C103" t="s">
        <v>369</v>
      </c>
      <c r="D103" s="3">
        <v>1738.91</v>
      </c>
      <c r="E103" t="s">
        <v>370</v>
      </c>
      <c r="F103" t="s">
        <v>30</v>
      </c>
      <c r="G103">
        <v>12</v>
      </c>
      <c r="H103" s="3">
        <f>(1738.91*12)</f>
        <v>20866.920000000002</v>
      </c>
      <c r="I103" t="s">
        <v>30</v>
      </c>
      <c r="J103">
        <v>12</v>
      </c>
      <c r="K103" s="3">
        <f>(1738.91*12)</f>
        <v>20866.920000000002</v>
      </c>
      <c r="L103" t="s">
        <v>30</v>
      </c>
      <c r="M103">
        <v>12</v>
      </c>
      <c r="N103" s="3">
        <f>(1738.91*12)</f>
        <v>20866.920000000002</v>
      </c>
      <c r="O103" t="s">
        <v>30</v>
      </c>
      <c r="P103">
        <v>12</v>
      </c>
      <c r="Q103" s="3">
        <f>(1738.91*12)</f>
        <v>20866.920000000002</v>
      </c>
      <c r="R103" t="s">
        <v>30</v>
      </c>
      <c r="S103">
        <v>10</v>
      </c>
      <c r="T103" s="3">
        <f>(1738.91*10)</f>
        <v>17389.100000000002</v>
      </c>
      <c r="U103" t="s">
        <v>30</v>
      </c>
      <c r="V103">
        <v>0</v>
      </c>
      <c r="W103" s="3"/>
      <c r="X103" t="s">
        <v>30</v>
      </c>
      <c r="Y103">
        <v>0</v>
      </c>
      <c r="Z103" s="3"/>
      <c r="AA103" t="s">
        <v>30</v>
      </c>
      <c r="AB103">
        <v>0</v>
      </c>
      <c r="AC103" s="3"/>
      <c r="AD103" t="s">
        <v>30</v>
      </c>
      <c r="AE103">
        <v>0</v>
      </c>
      <c r="AF103" s="3"/>
      <c r="AG103" t="s">
        <v>30</v>
      </c>
      <c r="AH103">
        <v>0</v>
      </c>
      <c r="AI103" s="3"/>
    </row>
    <row r="104" spans="1:35" ht="15" x14ac:dyDescent="0.25">
      <c r="A104" t="s">
        <v>371</v>
      </c>
      <c r="B104" t="s">
        <v>372</v>
      </c>
      <c r="C104" t="s">
        <v>373</v>
      </c>
      <c r="D104" s="3">
        <v>1627.18</v>
      </c>
      <c r="E104" t="s">
        <v>214</v>
      </c>
      <c r="F104" t="s">
        <v>30</v>
      </c>
      <c r="G104">
        <v>12</v>
      </c>
      <c r="H104" s="3">
        <f>(1627.18*12)</f>
        <v>19526.16</v>
      </c>
      <c r="I104" t="s">
        <v>30</v>
      </c>
      <c r="J104">
        <v>8</v>
      </c>
      <c r="K104" s="3">
        <f>(1627.18*8)</f>
        <v>13017.44</v>
      </c>
      <c r="L104" t="s">
        <v>30</v>
      </c>
      <c r="M104">
        <v>0</v>
      </c>
      <c r="N104" s="3"/>
      <c r="O104" t="s">
        <v>30</v>
      </c>
      <c r="P104">
        <v>0</v>
      </c>
      <c r="Q104" s="3"/>
      <c r="R104" t="s">
        <v>30</v>
      </c>
      <c r="S104">
        <v>0</v>
      </c>
      <c r="T104" s="3"/>
      <c r="U104" t="s">
        <v>30</v>
      </c>
      <c r="V104">
        <v>0</v>
      </c>
      <c r="W104" s="3"/>
      <c r="X104" t="s">
        <v>30</v>
      </c>
      <c r="Y104">
        <v>0</v>
      </c>
      <c r="Z104" s="3"/>
      <c r="AA104" t="s">
        <v>30</v>
      </c>
      <c r="AB104">
        <v>0</v>
      </c>
      <c r="AC104" s="3"/>
      <c r="AD104" t="s">
        <v>30</v>
      </c>
      <c r="AE104">
        <v>0</v>
      </c>
      <c r="AF104" s="3"/>
      <c r="AG104" t="s">
        <v>30</v>
      </c>
      <c r="AH104">
        <v>0</v>
      </c>
      <c r="AI104" s="3"/>
    </row>
    <row r="105" spans="1:35" ht="15" x14ac:dyDescent="0.25">
      <c r="A105" t="s">
        <v>374</v>
      </c>
      <c r="B105" t="s">
        <v>375</v>
      </c>
      <c r="C105" t="s">
        <v>376</v>
      </c>
      <c r="D105" s="3">
        <v>320</v>
      </c>
      <c r="E105" t="s">
        <v>377</v>
      </c>
      <c r="F105" t="s">
        <v>30</v>
      </c>
      <c r="G105">
        <v>12</v>
      </c>
      <c r="H105" s="3">
        <f>(310*2)+(320*10)</f>
        <v>3820</v>
      </c>
      <c r="I105" t="s">
        <v>30</v>
      </c>
      <c r="J105">
        <v>2</v>
      </c>
      <c r="K105" s="3">
        <f>(320*2)</f>
        <v>640</v>
      </c>
      <c r="L105" t="s">
        <v>30</v>
      </c>
      <c r="M105">
        <v>0</v>
      </c>
      <c r="N105" s="3"/>
      <c r="O105" t="s">
        <v>30</v>
      </c>
      <c r="P105">
        <v>0</v>
      </c>
      <c r="Q105" s="3"/>
      <c r="R105" t="s">
        <v>30</v>
      </c>
      <c r="S105">
        <v>0</v>
      </c>
      <c r="T105" s="3"/>
      <c r="U105" t="s">
        <v>30</v>
      </c>
      <c r="V105">
        <v>0</v>
      </c>
      <c r="W105" s="3"/>
      <c r="X105" t="s">
        <v>30</v>
      </c>
      <c r="Y105">
        <v>0</v>
      </c>
      <c r="Z105" s="3"/>
      <c r="AA105" t="s">
        <v>30</v>
      </c>
      <c r="AB105">
        <v>0</v>
      </c>
      <c r="AC105" s="3"/>
      <c r="AD105" t="s">
        <v>30</v>
      </c>
      <c r="AE105">
        <v>0</v>
      </c>
      <c r="AF105" s="3"/>
      <c r="AG105" t="s">
        <v>30</v>
      </c>
      <c r="AH105">
        <v>0</v>
      </c>
      <c r="AI105" s="3"/>
    </row>
    <row r="106" spans="1:35" ht="15" x14ac:dyDescent="0.25">
      <c r="A106" t="s">
        <v>378</v>
      </c>
      <c r="B106" t="s">
        <v>379</v>
      </c>
      <c r="C106" t="s">
        <v>380</v>
      </c>
      <c r="D106" s="3">
        <v>0</v>
      </c>
      <c r="E106" t="s">
        <v>381</v>
      </c>
      <c r="F106" t="s">
        <v>30</v>
      </c>
      <c r="G106">
        <v>12</v>
      </c>
      <c r="H106" s="3">
        <f>(0*12)</f>
        <v>0</v>
      </c>
      <c r="I106" t="s">
        <v>30</v>
      </c>
      <c r="J106">
        <v>12</v>
      </c>
      <c r="K106" s="3">
        <f>(0*12)</f>
        <v>0</v>
      </c>
      <c r="L106" t="s">
        <v>30</v>
      </c>
      <c r="M106">
        <v>12</v>
      </c>
      <c r="N106" s="3">
        <f>(0*12)</f>
        <v>0</v>
      </c>
      <c r="O106" t="s">
        <v>30</v>
      </c>
      <c r="P106">
        <v>12</v>
      </c>
      <c r="Q106" s="3">
        <f>(0*12)</f>
        <v>0</v>
      </c>
      <c r="R106" t="s">
        <v>30</v>
      </c>
      <c r="S106">
        <v>12</v>
      </c>
      <c r="T106" s="3">
        <f>(0*12)</f>
        <v>0</v>
      </c>
      <c r="U106" t="s">
        <v>30</v>
      </c>
      <c r="V106">
        <v>12</v>
      </c>
      <c r="W106" s="3">
        <f>(0*12)</f>
        <v>0</v>
      </c>
      <c r="X106" t="s">
        <v>30</v>
      </c>
      <c r="Y106">
        <v>60</v>
      </c>
      <c r="Z106" s="3">
        <f>(0*60)</f>
        <v>0</v>
      </c>
      <c r="AA106" t="s">
        <v>30</v>
      </c>
      <c r="AB106">
        <v>60</v>
      </c>
      <c r="AC106" s="3">
        <f>(0*60)</f>
        <v>0</v>
      </c>
      <c r="AD106" t="s">
        <v>30</v>
      </c>
      <c r="AE106">
        <v>46</v>
      </c>
      <c r="AF106" s="3">
        <f>(0*46)</f>
        <v>0</v>
      </c>
      <c r="AG106" t="s">
        <v>30</v>
      </c>
      <c r="AH106">
        <v>0</v>
      </c>
      <c r="AI106" s="3"/>
    </row>
    <row r="107" spans="1:35" ht="15" x14ac:dyDescent="0.25">
      <c r="A107" t="s">
        <v>382</v>
      </c>
      <c r="B107" t="s">
        <v>383</v>
      </c>
      <c r="C107" t="s">
        <v>384</v>
      </c>
      <c r="D107" s="3">
        <v>2083.33</v>
      </c>
      <c r="E107" t="s">
        <v>385</v>
      </c>
      <c r="F107" t="s">
        <v>30</v>
      </c>
      <c r="G107">
        <v>6</v>
      </c>
      <c r="H107" s="3">
        <f>(2083.33*6)</f>
        <v>12499.98</v>
      </c>
      <c r="I107" t="s">
        <v>30</v>
      </c>
      <c r="J107">
        <v>0</v>
      </c>
      <c r="K107" s="3"/>
      <c r="L107" t="s">
        <v>30</v>
      </c>
      <c r="M107">
        <v>0</v>
      </c>
      <c r="N107" s="3"/>
      <c r="O107" t="s">
        <v>30</v>
      </c>
      <c r="P107">
        <v>0</v>
      </c>
      <c r="Q107" s="3"/>
      <c r="R107" t="s">
        <v>30</v>
      </c>
      <c r="S107">
        <v>0</v>
      </c>
      <c r="T107" s="3"/>
      <c r="U107" t="s">
        <v>30</v>
      </c>
      <c r="V107">
        <v>0</v>
      </c>
      <c r="W107" s="3"/>
      <c r="X107" t="s">
        <v>30</v>
      </c>
      <c r="Y107">
        <v>0</v>
      </c>
      <c r="Z107" s="3"/>
      <c r="AA107" t="s">
        <v>30</v>
      </c>
      <c r="AB107">
        <v>0</v>
      </c>
      <c r="AC107" s="3"/>
      <c r="AD107" t="s">
        <v>30</v>
      </c>
      <c r="AE107">
        <v>0</v>
      </c>
      <c r="AF107" s="3"/>
      <c r="AG107" t="s">
        <v>30</v>
      </c>
      <c r="AH107">
        <v>0</v>
      </c>
      <c r="AI107" s="3"/>
    </row>
    <row r="108" spans="1:35" ht="15" x14ac:dyDescent="0.25">
      <c r="A108" t="s">
        <v>386</v>
      </c>
      <c r="B108" t="s">
        <v>387</v>
      </c>
      <c r="C108" t="s">
        <v>388</v>
      </c>
      <c r="D108" s="3">
        <v>1293.5999999999999</v>
      </c>
      <c r="E108" t="s">
        <v>389</v>
      </c>
      <c r="F108" t="s">
        <v>30</v>
      </c>
      <c r="G108">
        <v>12</v>
      </c>
      <c r="H108" s="3">
        <f>(1293.6*12)</f>
        <v>15523.199999999999</v>
      </c>
      <c r="I108" t="s">
        <v>30</v>
      </c>
      <c r="J108">
        <v>12</v>
      </c>
      <c r="K108" s="3">
        <f>(1293.6*12)</f>
        <v>15523.199999999999</v>
      </c>
      <c r="L108" t="s">
        <v>30</v>
      </c>
      <c r="M108">
        <v>12</v>
      </c>
      <c r="N108" s="3">
        <f>(1293.6*12)</f>
        <v>15523.199999999999</v>
      </c>
      <c r="O108" t="s">
        <v>30</v>
      </c>
      <c r="P108">
        <v>12</v>
      </c>
      <c r="Q108" s="3">
        <f>(1293.6*12)</f>
        <v>15523.199999999999</v>
      </c>
      <c r="R108" t="s">
        <v>30</v>
      </c>
      <c r="S108">
        <v>12</v>
      </c>
      <c r="T108" s="3">
        <f>(1293.6*12)</f>
        <v>15523.199999999999</v>
      </c>
      <c r="U108" t="s">
        <v>30</v>
      </c>
      <c r="V108">
        <v>12</v>
      </c>
      <c r="W108" s="3">
        <f>(1293.6*12)</f>
        <v>15523.199999999999</v>
      </c>
      <c r="X108" t="s">
        <v>30</v>
      </c>
      <c r="Y108">
        <v>60</v>
      </c>
      <c r="Z108" s="3">
        <f>(1293.6*60)</f>
        <v>77616</v>
      </c>
      <c r="AA108" t="s">
        <v>30</v>
      </c>
      <c r="AB108">
        <v>29</v>
      </c>
      <c r="AC108" s="3">
        <f>(1293.6*29)</f>
        <v>37514.399999999994</v>
      </c>
      <c r="AD108" t="s">
        <v>30</v>
      </c>
      <c r="AE108">
        <v>0</v>
      </c>
      <c r="AF108" s="3"/>
      <c r="AG108" t="s">
        <v>30</v>
      </c>
      <c r="AH108">
        <v>0</v>
      </c>
      <c r="AI108" s="3"/>
    </row>
    <row r="109" spans="1:35" ht="15" x14ac:dyDescent="0.25">
      <c r="A109" t="s">
        <v>390</v>
      </c>
      <c r="B109" t="s">
        <v>391</v>
      </c>
      <c r="C109" t="s">
        <v>392</v>
      </c>
      <c r="D109" s="3">
        <v>698.58</v>
      </c>
      <c r="E109" t="s">
        <v>21</v>
      </c>
      <c r="F109" t="s">
        <v>30</v>
      </c>
      <c r="G109">
        <v>12</v>
      </c>
      <c r="H109" s="3">
        <f>(698.58*12)</f>
        <v>8382.9600000000009</v>
      </c>
      <c r="I109" t="s">
        <v>30</v>
      </c>
      <c r="J109">
        <v>12</v>
      </c>
      <c r="K109" s="3">
        <f>(698.58*12)</f>
        <v>8382.9600000000009</v>
      </c>
      <c r="L109" t="s">
        <v>30</v>
      </c>
      <c r="M109">
        <v>12</v>
      </c>
      <c r="N109" s="3">
        <f>(698.58*12)</f>
        <v>8382.9600000000009</v>
      </c>
      <c r="O109" t="s">
        <v>30</v>
      </c>
      <c r="P109">
        <v>12</v>
      </c>
      <c r="Q109" s="3">
        <f>(698.58*12)</f>
        <v>8382.9600000000009</v>
      </c>
      <c r="R109" t="s">
        <v>30</v>
      </c>
      <c r="S109">
        <v>12</v>
      </c>
      <c r="T109" s="3">
        <f>(698.58*12)</f>
        <v>8382.9600000000009</v>
      </c>
      <c r="U109" t="s">
        <v>30</v>
      </c>
      <c r="V109">
        <v>0</v>
      </c>
      <c r="W109" s="3"/>
      <c r="X109" t="s">
        <v>30</v>
      </c>
      <c r="Y109">
        <v>0</v>
      </c>
      <c r="Z109" s="3"/>
      <c r="AA109" t="s">
        <v>30</v>
      </c>
      <c r="AB109">
        <v>0</v>
      </c>
      <c r="AC109" s="3"/>
      <c r="AD109" t="s">
        <v>30</v>
      </c>
      <c r="AE109">
        <v>0</v>
      </c>
      <c r="AF109" s="3"/>
      <c r="AG109" t="s">
        <v>30</v>
      </c>
      <c r="AH109">
        <v>0</v>
      </c>
      <c r="AI109" s="3"/>
    </row>
    <row r="110" spans="1:35" ht="15" x14ac:dyDescent="0.25">
      <c r="A110" t="s">
        <v>393</v>
      </c>
      <c r="B110" t="s">
        <v>394</v>
      </c>
      <c r="C110" t="s">
        <v>395</v>
      </c>
      <c r="D110" s="3">
        <v>1960.2</v>
      </c>
      <c r="E110" t="s">
        <v>396</v>
      </c>
      <c r="F110" t="s">
        <v>30</v>
      </c>
      <c r="G110">
        <v>12</v>
      </c>
      <c r="H110" s="3">
        <f>(1960.2*12)</f>
        <v>23522.400000000001</v>
      </c>
      <c r="I110" t="s">
        <v>30</v>
      </c>
      <c r="J110">
        <v>12</v>
      </c>
      <c r="K110" s="3">
        <f>(1960.2*12)</f>
        <v>23522.400000000001</v>
      </c>
      <c r="L110" t="s">
        <v>30</v>
      </c>
      <c r="M110">
        <v>12</v>
      </c>
      <c r="N110" s="3">
        <f>(1960.2*12)</f>
        <v>23522.400000000001</v>
      </c>
      <c r="O110" t="s">
        <v>30</v>
      </c>
      <c r="P110">
        <v>12</v>
      </c>
      <c r="Q110" s="3">
        <f>(1960.2*12)</f>
        <v>23522.400000000001</v>
      </c>
      <c r="R110" t="s">
        <v>30</v>
      </c>
      <c r="S110">
        <v>12</v>
      </c>
      <c r="T110" s="3">
        <f>(1960.2*12)</f>
        <v>23522.400000000001</v>
      </c>
      <c r="U110" t="s">
        <v>30</v>
      </c>
      <c r="V110">
        <v>12</v>
      </c>
      <c r="W110" s="3">
        <f>(1960.2*12)</f>
        <v>23522.400000000001</v>
      </c>
      <c r="X110" t="s">
        <v>30</v>
      </c>
      <c r="Y110">
        <v>60</v>
      </c>
      <c r="Z110" s="3">
        <f>(1960.2*60)</f>
        <v>117612</v>
      </c>
      <c r="AA110" t="s">
        <v>30</v>
      </c>
      <c r="AB110">
        <v>44</v>
      </c>
      <c r="AC110" s="3">
        <f>(1960.2*44)</f>
        <v>86248.8</v>
      </c>
      <c r="AD110" t="s">
        <v>30</v>
      </c>
      <c r="AE110">
        <v>0</v>
      </c>
      <c r="AF110" s="3"/>
      <c r="AG110" t="s">
        <v>30</v>
      </c>
      <c r="AH110">
        <v>0</v>
      </c>
      <c r="AI110" s="3"/>
    </row>
    <row r="111" spans="1:35" ht="15" x14ac:dyDescent="0.25">
      <c r="A111" t="s">
        <v>397</v>
      </c>
      <c r="B111" t="s">
        <v>398</v>
      </c>
      <c r="C111" t="s">
        <v>399</v>
      </c>
      <c r="D111" s="3">
        <v>2726.55</v>
      </c>
      <c r="E111" t="s">
        <v>94</v>
      </c>
      <c r="F111" t="s">
        <v>30</v>
      </c>
      <c r="G111">
        <v>12</v>
      </c>
      <c r="H111" s="3">
        <f>(2680.38*1)+(2726.55*11)</f>
        <v>32672.430000000004</v>
      </c>
      <c r="I111" t="s">
        <v>30</v>
      </c>
      <c r="J111">
        <v>12</v>
      </c>
      <c r="K111" s="3">
        <f>(2726.55*12)</f>
        <v>32718.600000000002</v>
      </c>
      <c r="L111" t="s">
        <v>30</v>
      </c>
      <c r="M111">
        <v>12</v>
      </c>
      <c r="N111" s="3">
        <f>(2726.55*12)</f>
        <v>32718.600000000002</v>
      </c>
      <c r="O111" t="s">
        <v>30</v>
      </c>
      <c r="P111">
        <v>4</v>
      </c>
      <c r="Q111" s="3">
        <f>(2726.55*4)</f>
        <v>10906.2</v>
      </c>
      <c r="R111" t="s">
        <v>30</v>
      </c>
      <c r="S111">
        <v>0</v>
      </c>
      <c r="T111" s="3"/>
      <c r="U111" t="s">
        <v>30</v>
      </c>
      <c r="V111">
        <v>0</v>
      </c>
      <c r="W111" s="3"/>
      <c r="X111" t="s">
        <v>30</v>
      </c>
      <c r="Y111">
        <v>0</v>
      </c>
      <c r="Z111" s="3"/>
      <c r="AA111" t="s">
        <v>30</v>
      </c>
      <c r="AB111">
        <v>0</v>
      </c>
      <c r="AC111" s="3"/>
      <c r="AD111" t="s">
        <v>30</v>
      </c>
      <c r="AE111">
        <v>0</v>
      </c>
      <c r="AF111" s="3"/>
      <c r="AG111" t="s">
        <v>30</v>
      </c>
      <c r="AH111">
        <v>0</v>
      </c>
      <c r="AI111" s="3"/>
    </row>
    <row r="112" spans="1:35" ht="15" x14ac:dyDescent="0.25">
      <c r="A112" t="s">
        <v>400</v>
      </c>
      <c r="B112" t="s">
        <v>401</v>
      </c>
      <c r="C112" t="s">
        <v>402</v>
      </c>
      <c r="D112" s="3">
        <v>2831.66</v>
      </c>
      <c r="E112" t="s">
        <v>94</v>
      </c>
      <c r="F112" t="s">
        <v>30</v>
      </c>
      <c r="G112">
        <v>12</v>
      </c>
      <c r="H112" s="3">
        <f>(2773.33*4)+(2831.66*8)</f>
        <v>33746.6</v>
      </c>
      <c r="I112" t="s">
        <v>30</v>
      </c>
      <c r="J112">
        <v>12</v>
      </c>
      <c r="K112" s="3">
        <f>(2831.66*12)</f>
        <v>33979.919999999998</v>
      </c>
      <c r="L112" t="s">
        <v>30</v>
      </c>
      <c r="M112">
        <v>12</v>
      </c>
      <c r="N112" s="3">
        <f>(2831.66*12)</f>
        <v>33979.919999999998</v>
      </c>
      <c r="O112" t="s">
        <v>30</v>
      </c>
      <c r="P112">
        <v>4</v>
      </c>
      <c r="Q112" s="3">
        <f>(2831.66*4)</f>
        <v>11326.64</v>
      </c>
      <c r="R112" t="s">
        <v>30</v>
      </c>
      <c r="S112">
        <v>0</v>
      </c>
      <c r="T112" s="3"/>
      <c r="U112" t="s">
        <v>30</v>
      </c>
      <c r="V112">
        <v>0</v>
      </c>
      <c r="W112" s="3"/>
      <c r="X112" t="s">
        <v>30</v>
      </c>
      <c r="Y112">
        <v>0</v>
      </c>
      <c r="Z112" s="3"/>
      <c r="AA112" t="s">
        <v>30</v>
      </c>
      <c r="AB112">
        <v>0</v>
      </c>
      <c r="AC112" s="3"/>
      <c r="AD112" t="s">
        <v>30</v>
      </c>
      <c r="AE112">
        <v>0</v>
      </c>
      <c r="AF112" s="3"/>
      <c r="AG112" t="s">
        <v>30</v>
      </c>
      <c r="AH112">
        <v>0</v>
      </c>
      <c r="AI112" s="3"/>
    </row>
    <row r="113" spans="1:35" ht="15" x14ac:dyDescent="0.25">
      <c r="A113" t="s">
        <v>403</v>
      </c>
      <c r="B113" t="s">
        <v>404</v>
      </c>
      <c r="C113" t="s">
        <v>405</v>
      </c>
      <c r="D113" s="3">
        <v>2025</v>
      </c>
      <c r="E113" t="s">
        <v>385</v>
      </c>
      <c r="F113" t="s">
        <v>30</v>
      </c>
      <c r="G113">
        <v>6</v>
      </c>
      <c r="H113" s="3">
        <f>(2025*6)</f>
        <v>12150</v>
      </c>
      <c r="I113" t="s">
        <v>30</v>
      </c>
      <c r="J113">
        <v>0</v>
      </c>
      <c r="K113" s="3"/>
      <c r="L113" t="s">
        <v>30</v>
      </c>
      <c r="M113">
        <v>0</v>
      </c>
      <c r="N113" s="3"/>
      <c r="O113" t="s">
        <v>30</v>
      </c>
      <c r="P113">
        <v>0</v>
      </c>
      <c r="Q113" s="3"/>
      <c r="R113" t="s">
        <v>30</v>
      </c>
      <c r="S113">
        <v>0</v>
      </c>
      <c r="T113" s="3"/>
      <c r="U113" t="s">
        <v>30</v>
      </c>
      <c r="V113">
        <v>0</v>
      </c>
      <c r="W113" s="3"/>
      <c r="X113" t="s">
        <v>30</v>
      </c>
      <c r="Y113">
        <v>0</v>
      </c>
      <c r="Z113" s="3"/>
      <c r="AA113" t="s">
        <v>30</v>
      </c>
      <c r="AB113">
        <v>0</v>
      </c>
      <c r="AC113" s="3"/>
      <c r="AD113" t="s">
        <v>30</v>
      </c>
      <c r="AE113">
        <v>0</v>
      </c>
      <c r="AF113" s="3"/>
      <c r="AG113" t="s">
        <v>30</v>
      </c>
      <c r="AH113">
        <v>0</v>
      </c>
      <c r="AI113" s="3"/>
    </row>
    <row r="114" spans="1:35" ht="15" x14ac:dyDescent="0.25">
      <c r="A114" t="s">
        <v>406</v>
      </c>
      <c r="B114" t="s">
        <v>407</v>
      </c>
      <c r="C114" t="s">
        <v>408</v>
      </c>
      <c r="D114" s="3">
        <v>2180.62</v>
      </c>
      <c r="E114" t="s">
        <v>312</v>
      </c>
      <c r="F114" t="s">
        <v>30</v>
      </c>
      <c r="G114">
        <v>12</v>
      </c>
      <c r="H114" s="3">
        <f>(2180.62*12)</f>
        <v>26167.439999999999</v>
      </c>
      <c r="I114" t="s">
        <v>30</v>
      </c>
      <c r="J114">
        <v>1</v>
      </c>
      <c r="K114" s="3">
        <f>(2180.62*1)</f>
        <v>2180.62</v>
      </c>
      <c r="L114" t="s">
        <v>30</v>
      </c>
      <c r="M114">
        <v>0</v>
      </c>
      <c r="N114" s="3"/>
      <c r="O114" t="s">
        <v>30</v>
      </c>
      <c r="P114">
        <v>0</v>
      </c>
      <c r="Q114" s="3"/>
      <c r="R114" t="s">
        <v>30</v>
      </c>
      <c r="S114">
        <v>0</v>
      </c>
      <c r="T114" s="3"/>
      <c r="U114" t="s">
        <v>30</v>
      </c>
      <c r="V114">
        <v>0</v>
      </c>
      <c r="W114" s="3"/>
      <c r="X114" t="s">
        <v>30</v>
      </c>
      <c r="Y114">
        <v>0</v>
      </c>
      <c r="Z114" s="3"/>
      <c r="AA114" t="s">
        <v>30</v>
      </c>
      <c r="AB114">
        <v>0</v>
      </c>
      <c r="AC114" s="3"/>
      <c r="AD114" t="s">
        <v>30</v>
      </c>
      <c r="AE114">
        <v>0</v>
      </c>
      <c r="AF114" s="3"/>
      <c r="AG114" t="s">
        <v>30</v>
      </c>
      <c r="AH114">
        <v>0</v>
      </c>
      <c r="AI114" s="3"/>
    </row>
    <row r="115" spans="1:35" ht="15" x14ac:dyDescent="0.25">
      <c r="A115" t="s">
        <v>409</v>
      </c>
      <c r="B115" t="s">
        <v>410</v>
      </c>
      <c r="C115" t="s">
        <v>411</v>
      </c>
      <c r="D115" s="3">
        <v>2366.67</v>
      </c>
      <c r="E115" t="s">
        <v>412</v>
      </c>
      <c r="F115" t="s">
        <v>30</v>
      </c>
      <c r="G115">
        <v>12</v>
      </c>
      <c r="H115" s="3">
        <f>(2366.67*12)</f>
        <v>28400.04</v>
      </c>
      <c r="I115" t="s">
        <v>30</v>
      </c>
      <c r="J115">
        <v>12</v>
      </c>
      <c r="K115" s="3">
        <f>(2366.67*12)</f>
        <v>28400.04</v>
      </c>
      <c r="L115" t="s">
        <v>30</v>
      </c>
      <c r="M115">
        <v>12</v>
      </c>
      <c r="N115" s="3">
        <f>(2366.67*12)</f>
        <v>28400.04</v>
      </c>
      <c r="O115" t="s">
        <v>30</v>
      </c>
      <c r="P115">
        <v>12</v>
      </c>
      <c r="Q115" s="3">
        <f>(2366.67*12)</f>
        <v>28400.04</v>
      </c>
      <c r="R115" t="s">
        <v>30</v>
      </c>
      <c r="S115">
        <v>12</v>
      </c>
      <c r="T115" s="3">
        <f>(2366.67*12)</f>
        <v>28400.04</v>
      </c>
      <c r="U115" t="s">
        <v>30</v>
      </c>
      <c r="V115">
        <v>12</v>
      </c>
      <c r="W115" s="3">
        <f>(2366.67*12)</f>
        <v>28400.04</v>
      </c>
      <c r="X115" t="s">
        <v>30</v>
      </c>
      <c r="Y115">
        <v>0</v>
      </c>
      <c r="Z115" s="3"/>
      <c r="AA115" t="s">
        <v>30</v>
      </c>
      <c r="AB115">
        <v>0</v>
      </c>
      <c r="AC115" s="3"/>
      <c r="AD115" t="s">
        <v>30</v>
      </c>
      <c r="AE115">
        <v>0</v>
      </c>
      <c r="AF115" s="3"/>
      <c r="AG115" t="s">
        <v>30</v>
      </c>
      <c r="AH115">
        <v>0</v>
      </c>
      <c r="AI115" s="3"/>
    </row>
    <row r="116" spans="1:35" ht="15" x14ac:dyDescent="0.25">
      <c r="A116" t="s">
        <v>413</v>
      </c>
      <c r="B116" t="s">
        <v>414</v>
      </c>
      <c r="C116" t="s">
        <v>415</v>
      </c>
      <c r="D116" s="3">
        <v>1960.2</v>
      </c>
      <c r="E116" t="s">
        <v>416</v>
      </c>
      <c r="F116" t="s">
        <v>30</v>
      </c>
      <c r="G116">
        <v>12</v>
      </c>
      <c r="H116" s="3">
        <f>(1960.2*12)</f>
        <v>23522.400000000001</v>
      </c>
      <c r="I116" t="s">
        <v>30</v>
      </c>
      <c r="J116">
        <v>12</v>
      </c>
      <c r="K116" s="3">
        <f>(1960.2*12)</f>
        <v>23522.400000000001</v>
      </c>
      <c r="L116" t="s">
        <v>30</v>
      </c>
      <c r="M116">
        <v>12</v>
      </c>
      <c r="N116" s="3">
        <f>(1960.2*12)</f>
        <v>23522.400000000001</v>
      </c>
      <c r="O116" t="s">
        <v>30</v>
      </c>
      <c r="P116">
        <v>12</v>
      </c>
      <c r="Q116" s="3">
        <f>(1960.2*12)</f>
        <v>23522.400000000001</v>
      </c>
      <c r="R116" t="s">
        <v>30</v>
      </c>
      <c r="S116">
        <v>12</v>
      </c>
      <c r="T116" s="3">
        <f>(1960.2*12)</f>
        <v>23522.400000000001</v>
      </c>
      <c r="U116" t="s">
        <v>30</v>
      </c>
      <c r="V116">
        <v>12</v>
      </c>
      <c r="W116" s="3">
        <f>(1960.2*12)</f>
        <v>23522.400000000001</v>
      </c>
      <c r="X116" t="s">
        <v>30</v>
      </c>
      <c r="Y116">
        <v>60</v>
      </c>
      <c r="Z116" s="3">
        <f>(1960.2*60)</f>
        <v>117612</v>
      </c>
      <c r="AA116" t="s">
        <v>30</v>
      </c>
      <c r="AB116">
        <v>60</v>
      </c>
      <c r="AC116" s="3">
        <f>(1960.2*60)</f>
        <v>117612</v>
      </c>
      <c r="AD116" t="s">
        <v>30</v>
      </c>
      <c r="AE116">
        <v>40</v>
      </c>
      <c r="AF116" s="3">
        <f>(1960.2*40)</f>
        <v>78408</v>
      </c>
      <c r="AG116" t="s">
        <v>30</v>
      </c>
      <c r="AH116">
        <v>0</v>
      </c>
      <c r="AI116" s="3"/>
    </row>
    <row r="117" spans="1:35" ht="15" x14ac:dyDescent="0.25">
      <c r="A117" t="s">
        <v>417</v>
      </c>
      <c r="B117" t="s">
        <v>418</v>
      </c>
      <c r="C117" t="s">
        <v>419</v>
      </c>
      <c r="D117" s="3">
        <v>1619.75</v>
      </c>
      <c r="E117" t="s">
        <v>152</v>
      </c>
      <c r="F117" t="s">
        <v>30</v>
      </c>
      <c r="G117">
        <v>12</v>
      </c>
      <c r="H117" s="3">
        <f>(1567.5*2)+(1619.75*10)</f>
        <v>19332.5</v>
      </c>
      <c r="I117" t="s">
        <v>30</v>
      </c>
      <c r="J117">
        <v>2</v>
      </c>
      <c r="K117" s="3">
        <f>(1619.75*2)</f>
        <v>3239.5</v>
      </c>
      <c r="L117" t="s">
        <v>30</v>
      </c>
      <c r="M117">
        <v>0</v>
      </c>
      <c r="N117" s="3"/>
      <c r="O117" t="s">
        <v>30</v>
      </c>
      <c r="P117">
        <v>0</v>
      </c>
      <c r="Q117" s="3"/>
      <c r="R117" t="s">
        <v>30</v>
      </c>
      <c r="S117">
        <v>0</v>
      </c>
      <c r="T117" s="3"/>
      <c r="U117" t="s">
        <v>30</v>
      </c>
      <c r="V117">
        <v>0</v>
      </c>
      <c r="W117" s="3"/>
      <c r="X117" t="s">
        <v>30</v>
      </c>
      <c r="Y117">
        <v>0</v>
      </c>
      <c r="Z117" s="3"/>
      <c r="AA117" t="s">
        <v>30</v>
      </c>
      <c r="AB117">
        <v>0</v>
      </c>
      <c r="AC117" s="3"/>
      <c r="AD117" t="s">
        <v>30</v>
      </c>
      <c r="AE117">
        <v>0</v>
      </c>
      <c r="AF117" s="3"/>
      <c r="AG117" t="s">
        <v>30</v>
      </c>
      <c r="AH117">
        <v>0</v>
      </c>
      <c r="AI117" s="3"/>
    </row>
    <row r="118" spans="1:35" ht="15" x14ac:dyDescent="0.25">
      <c r="A118" t="s">
        <v>420</v>
      </c>
      <c r="B118" t="s">
        <v>421</v>
      </c>
      <c r="C118" t="s">
        <v>422</v>
      </c>
      <c r="D118" s="3">
        <v>0</v>
      </c>
      <c r="E118" t="s">
        <v>423</v>
      </c>
      <c r="F118" t="s">
        <v>30</v>
      </c>
      <c r="G118">
        <v>0</v>
      </c>
      <c r="H118" s="3"/>
      <c r="I118" t="s">
        <v>30</v>
      </c>
      <c r="J118">
        <v>0</v>
      </c>
      <c r="K118" s="3"/>
      <c r="L118" t="s">
        <v>30</v>
      </c>
      <c r="M118">
        <v>0</v>
      </c>
      <c r="N118" s="3"/>
      <c r="O118" t="s">
        <v>30</v>
      </c>
      <c r="P118">
        <v>0</v>
      </c>
      <c r="Q118" s="3"/>
      <c r="R118" t="s">
        <v>30</v>
      </c>
      <c r="S118">
        <v>0</v>
      </c>
      <c r="T118" s="3"/>
      <c r="U118" t="s">
        <v>30</v>
      </c>
      <c r="V118">
        <v>0</v>
      </c>
      <c r="W118" s="3"/>
      <c r="X118" t="s">
        <v>30</v>
      </c>
      <c r="Y118">
        <v>0</v>
      </c>
      <c r="Z118" s="3"/>
      <c r="AA118" t="s">
        <v>30</v>
      </c>
      <c r="AB118">
        <v>0</v>
      </c>
      <c r="AC118" s="3"/>
      <c r="AD118" t="s">
        <v>30</v>
      </c>
      <c r="AE118">
        <v>0</v>
      </c>
      <c r="AF118" s="3"/>
      <c r="AG118" t="s">
        <v>30</v>
      </c>
      <c r="AH118">
        <v>0</v>
      </c>
      <c r="AI118" s="3"/>
    </row>
    <row r="119" spans="1:35" ht="15" x14ac:dyDescent="0.25">
      <c r="A119" t="s">
        <v>424</v>
      </c>
      <c r="B119" t="s">
        <v>425</v>
      </c>
      <c r="C119" t="s">
        <v>422</v>
      </c>
      <c r="D119" s="3">
        <v>0</v>
      </c>
      <c r="E119" t="s">
        <v>191</v>
      </c>
      <c r="F119" t="s">
        <v>30</v>
      </c>
      <c r="G119">
        <v>12</v>
      </c>
      <c r="H119" s="3">
        <f>(0*12)</f>
        <v>0</v>
      </c>
      <c r="I119" t="s">
        <v>30</v>
      </c>
      <c r="J119">
        <v>12</v>
      </c>
      <c r="K119" s="3">
        <f>(0*12)</f>
        <v>0</v>
      </c>
      <c r="L119" t="s">
        <v>30</v>
      </c>
      <c r="M119">
        <v>12</v>
      </c>
      <c r="N119" s="3">
        <f>(0*12)</f>
        <v>0</v>
      </c>
      <c r="O119" t="s">
        <v>30</v>
      </c>
      <c r="P119">
        <v>12</v>
      </c>
      <c r="Q119" s="3">
        <f>(0*12)</f>
        <v>0</v>
      </c>
      <c r="R119" t="s">
        <v>30</v>
      </c>
      <c r="S119">
        <v>12</v>
      </c>
      <c r="T119" s="3">
        <f>(0*12)</f>
        <v>0</v>
      </c>
      <c r="U119" t="s">
        <v>30</v>
      </c>
      <c r="V119">
        <v>12</v>
      </c>
      <c r="W119" s="3">
        <f>(0*12)</f>
        <v>0</v>
      </c>
      <c r="X119" t="s">
        <v>30</v>
      </c>
      <c r="Y119">
        <v>60</v>
      </c>
      <c r="Z119" s="3">
        <f>(0*60)</f>
        <v>0</v>
      </c>
      <c r="AA119" t="s">
        <v>30</v>
      </c>
      <c r="AB119">
        <v>58</v>
      </c>
      <c r="AC119" s="3">
        <f>(0*58)</f>
        <v>0</v>
      </c>
      <c r="AD119" t="s">
        <v>30</v>
      </c>
      <c r="AE119">
        <v>0</v>
      </c>
      <c r="AF119" s="3"/>
      <c r="AG119" t="s">
        <v>30</v>
      </c>
      <c r="AH119">
        <v>0</v>
      </c>
      <c r="AI119" s="3"/>
    </row>
    <row r="120" spans="1:35" ht="15" x14ac:dyDescent="0.25">
      <c r="A120" t="s">
        <v>426</v>
      </c>
      <c r="B120" t="s">
        <v>427</v>
      </c>
      <c r="C120" t="s">
        <v>428</v>
      </c>
      <c r="D120" s="3">
        <v>0</v>
      </c>
      <c r="E120" t="s">
        <v>30</v>
      </c>
      <c r="F120" t="s">
        <v>30</v>
      </c>
      <c r="G120">
        <v>12</v>
      </c>
      <c r="H120" s="3">
        <f>(0*12)</f>
        <v>0</v>
      </c>
      <c r="I120" t="s">
        <v>30</v>
      </c>
      <c r="J120">
        <v>12</v>
      </c>
      <c r="K120" s="3">
        <f>(0*12)</f>
        <v>0</v>
      </c>
      <c r="L120" t="s">
        <v>30</v>
      </c>
      <c r="M120">
        <v>12</v>
      </c>
      <c r="N120" s="3">
        <f>(0*12)</f>
        <v>0</v>
      </c>
      <c r="O120" t="s">
        <v>30</v>
      </c>
      <c r="P120">
        <v>12</v>
      </c>
      <c r="Q120" s="3">
        <f>(0*12)</f>
        <v>0</v>
      </c>
      <c r="R120" t="s">
        <v>30</v>
      </c>
      <c r="S120">
        <v>12</v>
      </c>
      <c r="T120" s="3">
        <f>(0*12)</f>
        <v>0</v>
      </c>
      <c r="U120" t="s">
        <v>30</v>
      </c>
      <c r="V120">
        <v>12</v>
      </c>
      <c r="W120" s="3">
        <f>(0*12)</f>
        <v>0</v>
      </c>
      <c r="X120" t="s">
        <v>30</v>
      </c>
      <c r="Y120">
        <v>60</v>
      </c>
      <c r="Z120" s="3">
        <f>(0*60)</f>
        <v>0</v>
      </c>
      <c r="AA120" t="s">
        <v>30</v>
      </c>
      <c r="AB120">
        <v>60</v>
      </c>
      <c r="AC120" s="3">
        <f>(0*60)</f>
        <v>0</v>
      </c>
      <c r="AD120" t="s">
        <v>30</v>
      </c>
      <c r="AE120">
        <v>60</v>
      </c>
      <c r="AF120" s="3">
        <f>(0*60)</f>
        <v>0</v>
      </c>
      <c r="AG120" t="s">
        <v>30</v>
      </c>
      <c r="AH120">
        <v>60</v>
      </c>
      <c r="AI120" s="3">
        <f>(0*60)</f>
        <v>0</v>
      </c>
    </row>
    <row r="121" spans="1:35" ht="15" x14ac:dyDescent="0.25">
      <c r="B121" t="s">
        <v>429</v>
      </c>
      <c r="H121" s="3">
        <f>SUM(H7:H119)</f>
        <v>4515453.0300000012</v>
      </c>
      <c r="K121" s="3">
        <f>SUM(K7:K119)</f>
        <v>3248764.45</v>
      </c>
      <c r="N121" s="3">
        <f>SUM(N7:N119)</f>
        <v>2441821.6299999994</v>
      </c>
      <c r="Q121" s="3">
        <f>SUM(Q7:Q119)</f>
        <v>2296870.0499999998</v>
      </c>
      <c r="T121" s="3">
        <f>SUM(T7:T119)</f>
        <v>2073039.6099999999</v>
      </c>
      <c r="W121" s="3">
        <f>SUM(W7:W119)</f>
        <v>1632094.5999999999</v>
      </c>
      <c r="Z121" s="3">
        <f>SUM(Z7:Z119)</f>
        <v>7083309.709999999</v>
      </c>
      <c r="AC121" s="3">
        <f>SUM(AC7:AC119)</f>
        <v>5342295.8100000005</v>
      </c>
      <c r="AF121" s="3">
        <f>SUM(AF7:AF119)</f>
        <v>2242265.5</v>
      </c>
      <c r="AI121" s="3">
        <f>SUM(AI7:AI119)</f>
        <v>2033287.52</v>
      </c>
    </row>
  </sheetData>
  <mergeCells count="7">
    <mergeCell ref="AE4:AF4"/>
    <mergeCell ref="AH4:AI4"/>
    <mergeCell ref="P4:Q4"/>
    <mergeCell ref="S4:T4"/>
    <mergeCell ref="V4:W4"/>
    <mergeCell ref="Y4:Z4"/>
    <mergeCell ref="AB4:AC4"/>
  </mergeCells>
  <phoneticPr fontId="0" type="noConversion"/>
  <printOptions gridLines="1" gridLinesSet="0"/>
  <pageMargins left="0.25" right="0.27" top="0.25" bottom="1" header="0.25" footer="0.34"/>
  <pageSetup paperSize="3" scale="140" orientation="portrait"/>
  <headerFooter alignWithMargins="0">
    <oddFooter>&amp;L* 1-year increase estimated based on 2%&amp;C** 3-year increase estimated based on 2%&amp;R*** 5-year increase estimated based on 2%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workbookViewId="0"/>
  </sheetViews>
  <sheetFormatPr defaultRowHeight="15" x14ac:dyDescent="0.25"/>
  <cols>
    <col min="1" max="1" width="36.42578125" style="30" customWidth="1"/>
    <col min="2" max="3" width="16.28515625" style="27" customWidth="1"/>
    <col min="4" max="4" width="18.140625" style="29" customWidth="1"/>
    <col min="5" max="5" width="9.140625" style="32"/>
    <col min="6" max="16384" width="9.140625" style="30"/>
  </cols>
  <sheetData>
    <row r="1" spans="1:4" x14ac:dyDescent="0.25">
      <c r="A1" s="26" t="s">
        <v>12</v>
      </c>
      <c r="D1" s="28"/>
    </row>
    <row r="2" spans="1:4" x14ac:dyDescent="0.25">
      <c r="A2" s="1" t="s">
        <v>430</v>
      </c>
    </row>
    <row r="3" spans="1:4" x14ac:dyDescent="0.25">
      <c r="A3" s="1" t="s">
        <v>13</v>
      </c>
    </row>
    <row r="6" spans="1:4" x14ac:dyDescent="0.25">
      <c r="A6" s="19" t="s">
        <v>5</v>
      </c>
      <c r="B6" s="19" t="s">
        <v>14</v>
      </c>
      <c r="C6" s="19" t="s">
        <v>15</v>
      </c>
      <c r="D6" s="31" t="s">
        <v>431</v>
      </c>
    </row>
    <row r="7" spans="1:4" x14ac:dyDescent="0.25">
      <c r="A7" t="s">
        <v>432</v>
      </c>
      <c r="B7" t="s">
        <v>433</v>
      </c>
      <c r="C7" t="s">
        <v>434</v>
      </c>
      <c r="D7" s="3">
        <v>2021.88</v>
      </c>
    </row>
    <row r="8" spans="1:4" x14ac:dyDescent="0.25">
      <c r="A8" t="s">
        <v>435</v>
      </c>
      <c r="B8" t="s">
        <v>437</v>
      </c>
      <c r="C8" t="s">
        <v>436</v>
      </c>
      <c r="D8" s="3">
        <v>1656.14</v>
      </c>
    </row>
    <row r="9" spans="1:4" x14ac:dyDescent="0.25">
      <c r="A9" t="s">
        <v>438</v>
      </c>
      <c r="B9" t="s">
        <v>439</v>
      </c>
      <c r="C9" t="s">
        <v>440</v>
      </c>
      <c r="D9" s="3">
        <v>275</v>
      </c>
    </row>
    <row r="10" spans="1:4" x14ac:dyDescent="0.25">
      <c r="A10" t="s">
        <v>441</v>
      </c>
      <c r="B10" t="s">
        <v>442</v>
      </c>
      <c r="C10" t="s">
        <v>443</v>
      </c>
      <c r="D10" s="3">
        <v>257</v>
      </c>
    </row>
    <row r="11" spans="1:4" x14ac:dyDescent="0.25">
      <c r="A11" t="s">
        <v>444</v>
      </c>
      <c r="B11" t="s">
        <v>445</v>
      </c>
      <c r="C11" t="s">
        <v>446</v>
      </c>
      <c r="D11" s="3">
        <v>257</v>
      </c>
    </row>
    <row r="12" spans="1:4" x14ac:dyDescent="0.25">
      <c r="A12" t="s">
        <v>447</v>
      </c>
      <c r="B12" t="s">
        <v>448</v>
      </c>
      <c r="C12" t="s">
        <v>449</v>
      </c>
      <c r="D12" s="3">
        <v>257</v>
      </c>
    </row>
    <row r="13" spans="1:4" x14ac:dyDescent="0.25">
      <c r="A13" t="s">
        <v>450</v>
      </c>
      <c r="B13" t="s">
        <v>451</v>
      </c>
      <c r="C13" t="s">
        <v>452</v>
      </c>
      <c r="D13" s="3">
        <v>257</v>
      </c>
    </row>
    <row r="14" spans="1:4" x14ac:dyDescent="0.25">
      <c r="A14" t="s">
        <v>453</v>
      </c>
      <c r="B14" t="s">
        <v>454</v>
      </c>
      <c r="C14" t="s">
        <v>455</v>
      </c>
      <c r="D14" s="3">
        <v>257</v>
      </c>
    </row>
    <row r="15" spans="1:4" x14ac:dyDescent="0.25">
      <c r="A15" t="s">
        <v>456</v>
      </c>
      <c r="B15" t="s">
        <v>457</v>
      </c>
      <c r="C15" t="s">
        <v>458</v>
      </c>
      <c r="D15" s="3">
        <v>257</v>
      </c>
    </row>
    <row r="16" spans="1:4" x14ac:dyDescent="0.25">
      <c r="A16" t="s">
        <v>459</v>
      </c>
      <c r="B16" t="s">
        <v>460</v>
      </c>
      <c r="C16" t="s">
        <v>461</v>
      </c>
      <c r="D16" s="3">
        <v>257</v>
      </c>
    </row>
    <row r="17" spans="1:4" x14ac:dyDescent="0.25">
      <c r="A17" t="s">
        <v>462</v>
      </c>
      <c r="B17" t="s">
        <v>463</v>
      </c>
      <c r="C17" t="s">
        <v>464</v>
      </c>
      <c r="D17" s="3">
        <v>257</v>
      </c>
    </row>
    <row r="18" spans="1:4" x14ac:dyDescent="0.25">
      <c r="A18" t="s">
        <v>465</v>
      </c>
      <c r="B18" t="s">
        <v>466</v>
      </c>
      <c r="C18" t="s">
        <v>467</v>
      </c>
      <c r="D18" s="3">
        <v>257</v>
      </c>
    </row>
    <row r="19" spans="1:4" x14ac:dyDescent="0.25">
      <c r="A19" t="s">
        <v>468</v>
      </c>
      <c r="B19" t="s">
        <v>469</v>
      </c>
      <c r="C19" t="s">
        <v>470</v>
      </c>
      <c r="D19" s="3">
        <v>275</v>
      </c>
    </row>
    <row r="20" spans="1:4" x14ac:dyDescent="0.25">
      <c r="A20" t="s">
        <v>471</v>
      </c>
      <c r="B20" t="s">
        <v>472</v>
      </c>
      <c r="C20" t="s">
        <v>473</v>
      </c>
      <c r="D20" s="3">
        <v>257</v>
      </c>
    </row>
    <row r="21" spans="1:4" x14ac:dyDescent="0.25">
      <c r="A21" t="s">
        <v>474</v>
      </c>
      <c r="B21" t="s">
        <v>475</v>
      </c>
      <c r="C21" t="s">
        <v>476</v>
      </c>
      <c r="D21" s="3">
        <v>257</v>
      </c>
    </row>
    <row r="22" spans="1:4" x14ac:dyDescent="0.25">
      <c r="A22" t="s">
        <v>477</v>
      </c>
      <c r="B22" t="s">
        <v>478</v>
      </c>
      <c r="C22" t="s">
        <v>479</v>
      </c>
      <c r="D22" s="3">
        <v>257</v>
      </c>
    </row>
    <row r="23" spans="1:4" x14ac:dyDescent="0.25">
      <c r="A23" t="s">
        <v>480</v>
      </c>
      <c r="B23" t="s">
        <v>481</v>
      </c>
      <c r="C23" t="s">
        <v>482</v>
      </c>
      <c r="D23" s="3">
        <v>257</v>
      </c>
    </row>
    <row r="24" spans="1:4" x14ac:dyDescent="0.25">
      <c r="A24" t="s">
        <v>483</v>
      </c>
      <c r="B24" t="s">
        <v>484</v>
      </c>
      <c r="C24" t="s">
        <v>485</v>
      </c>
      <c r="D24" s="3">
        <v>294.39999999999998</v>
      </c>
    </row>
    <row r="25" spans="1:4" x14ac:dyDescent="0.25">
      <c r="A25" t="s">
        <v>486</v>
      </c>
      <c r="B25" t="s">
        <v>487</v>
      </c>
      <c r="C25" t="s">
        <v>488</v>
      </c>
      <c r="D25" s="3">
        <v>294.39999999999998</v>
      </c>
    </row>
    <row r="26" spans="1:4" x14ac:dyDescent="0.25">
      <c r="A26" t="s">
        <v>489</v>
      </c>
      <c r="B26" t="s">
        <v>490</v>
      </c>
      <c r="C26" t="s">
        <v>491</v>
      </c>
      <c r="D26" s="3">
        <v>294.39999999999998</v>
      </c>
    </row>
    <row r="27" spans="1:4" x14ac:dyDescent="0.25">
      <c r="A27" t="s">
        <v>492</v>
      </c>
      <c r="B27" t="s">
        <v>493</v>
      </c>
      <c r="C27" t="s">
        <v>494</v>
      </c>
      <c r="D27" s="3">
        <v>0</v>
      </c>
    </row>
    <row r="28" spans="1:4" x14ac:dyDescent="0.25">
      <c r="A28" t="s">
        <v>495</v>
      </c>
      <c r="B28" t="s">
        <v>497</v>
      </c>
      <c r="C28" t="s">
        <v>496</v>
      </c>
      <c r="D28" s="3">
        <v>0</v>
      </c>
    </row>
    <row r="29" spans="1:4" x14ac:dyDescent="0.25">
      <c r="A29" t="s">
        <v>498</v>
      </c>
      <c r="B29" t="s">
        <v>499</v>
      </c>
      <c r="C29" t="s">
        <v>500</v>
      </c>
      <c r="D29" s="3">
        <v>200</v>
      </c>
    </row>
    <row r="30" spans="1:4" x14ac:dyDescent="0.25">
      <c r="A30" t="s">
        <v>501</v>
      </c>
      <c r="B30" t="s">
        <v>502</v>
      </c>
      <c r="C30" t="s">
        <v>503</v>
      </c>
      <c r="D30" s="3">
        <v>294.39999999999998</v>
      </c>
    </row>
    <row r="31" spans="1:4" x14ac:dyDescent="0.25">
      <c r="A31" t="s">
        <v>504</v>
      </c>
      <c r="B31" t="s">
        <v>505</v>
      </c>
      <c r="C31" t="s">
        <v>506</v>
      </c>
      <c r="D31" s="3">
        <v>25</v>
      </c>
    </row>
    <row r="32" spans="1:4" x14ac:dyDescent="0.25">
      <c r="A32" t="s">
        <v>507</v>
      </c>
      <c r="B32" t="s">
        <v>508</v>
      </c>
      <c r="C32" t="s">
        <v>509</v>
      </c>
      <c r="D32" s="3">
        <v>200</v>
      </c>
    </row>
    <row r="33" spans="1:4" x14ac:dyDescent="0.25">
      <c r="A33" t="s">
        <v>510</v>
      </c>
      <c r="B33" t="s">
        <v>511</v>
      </c>
      <c r="C33" t="s">
        <v>512</v>
      </c>
      <c r="D33" s="3">
        <v>200</v>
      </c>
    </row>
    <row r="34" spans="1:4" x14ac:dyDescent="0.25">
      <c r="A34" t="s">
        <v>513</v>
      </c>
      <c r="B34" t="s">
        <v>515</v>
      </c>
      <c r="C34" t="s">
        <v>514</v>
      </c>
      <c r="D34" s="3">
        <v>50</v>
      </c>
    </row>
    <row r="35" spans="1:4" x14ac:dyDescent="0.25">
      <c r="A35" t="s">
        <v>516</v>
      </c>
      <c r="B35" t="s">
        <v>517</v>
      </c>
      <c r="C35" t="s">
        <v>518</v>
      </c>
      <c r="D35" s="3">
        <v>200</v>
      </c>
    </row>
    <row r="36" spans="1:4" x14ac:dyDescent="0.25">
      <c r="A36" t="s">
        <v>519</v>
      </c>
      <c r="B36" t="s">
        <v>520</v>
      </c>
      <c r="C36" t="s">
        <v>521</v>
      </c>
      <c r="D36" s="3">
        <v>200</v>
      </c>
    </row>
    <row r="37" spans="1:4" x14ac:dyDescent="0.25">
      <c r="A37" t="s">
        <v>522</v>
      </c>
      <c r="B37" t="s">
        <v>523</v>
      </c>
      <c r="C37" t="s">
        <v>524</v>
      </c>
      <c r="D37" s="3">
        <v>294.39999999999998</v>
      </c>
    </row>
    <row r="38" spans="1:4" x14ac:dyDescent="0.25">
      <c r="A38" t="s">
        <v>525</v>
      </c>
      <c r="B38" t="s">
        <v>526</v>
      </c>
      <c r="C38" t="s">
        <v>527</v>
      </c>
      <c r="D38" s="3">
        <v>200</v>
      </c>
    </row>
    <row r="39" spans="1:4" x14ac:dyDescent="0.25">
      <c r="A39" t="s">
        <v>166</v>
      </c>
      <c r="B39" t="s">
        <v>528</v>
      </c>
      <c r="C39" t="s">
        <v>529</v>
      </c>
      <c r="D39" s="3">
        <v>200</v>
      </c>
    </row>
    <row r="40" spans="1:4" x14ac:dyDescent="0.25">
      <c r="A40" t="s">
        <v>530</v>
      </c>
      <c r="B40" t="s">
        <v>531</v>
      </c>
      <c r="C40" t="s">
        <v>532</v>
      </c>
      <c r="D40" s="3">
        <v>294.39999999999998</v>
      </c>
    </row>
    <row r="41" spans="1:4" x14ac:dyDescent="0.25">
      <c r="A41" t="s">
        <v>533</v>
      </c>
      <c r="B41" t="s">
        <v>534</v>
      </c>
      <c r="C41" t="s">
        <v>535</v>
      </c>
      <c r="D41" s="3">
        <v>257</v>
      </c>
    </row>
    <row r="42" spans="1:4" x14ac:dyDescent="0.25">
      <c r="A42" t="s">
        <v>536</v>
      </c>
      <c r="B42" t="s">
        <v>538</v>
      </c>
      <c r="C42" t="s">
        <v>537</v>
      </c>
      <c r="D42" s="3">
        <v>0</v>
      </c>
    </row>
    <row r="43" spans="1:4" x14ac:dyDescent="0.25">
      <c r="A43" t="s">
        <v>539</v>
      </c>
      <c r="B43" t="s">
        <v>540</v>
      </c>
      <c r="C43" t="s">
        <v>541</v>
      </c>
      <c r="D43" s="3">
        <v>257</v>
      </c>
    </row>
    <row r="44" spans="1:4" x14ac:dyDescent="0.25">
      <c r="A44" t="s">
        <v>542</v>
      </c>
      <c r="B44" t="s">
        <v>543</v>
      </c>
      <c r="C44" t="s">
        <v>544</v>
      </c>
      <c r="D44" s="3">
        <v>50</v>
      </c>
    </row>
    <row r="45" spans="1:4" x14ac:dyDescent="0.25">
      <c r="A45" t="s">
        <v>545</v>
      </c>
      <c r="B45" t="s">
        <v>547</v>
      </c>
      <c r="C45" t="s">
        <v>546</v>
      </c>
      <c r="D45" s="3">
        <v>257</v>
      </c>
    </row>
    <row r="46" spans="1:4" x14ac:dyDescent="0.25">
      <c r="A46" t="s">
        <v>548</v>
      </c>
      <c r="B46" t="s">
        <v>549</v>
      </c>
      <c r="C46" t="s">
        <v>550</v>
      </c>
      <c r="D46" s="3">
        <v>0</v>
      </c>
    </row>
    <row r="47" spans="1:4" x14ac:dyDescent="0.25">
      <c r="A47" t="s">
        <v>551</v>
      </c>
      <c r="B47" t="s">
        <v>552</v>
      </c>
      <c r="C47" t="s">
        <v>553</v>
      </c>
      <c r="D47" s="3">
        <v>257</v>
      </c>
    </row>
    <row r="48" spans="1:4" x14ac:dyDescent="0.25">
      <c r="A48" t="s">
        <v>554</v>
      </c>
      <c r="B48" t="s">
        <v>555</v>
      </c>
      <c r="C48" t="s">
        <v>556</v>
      </c>
      <c r="D48" s="3">
        <v>257</v>
      </c>
    </row>
    <row r="49" spans="1:4" x14ac:dyDescent="0.25">
      <c r="A49" t="s">
        <v>557</v>
      </c>
      <c r="B49" t="s">
        <v>558</v>
      </c>
      <c r="C49" t="s">
        <v>559</v>
      </c>
      <c r="D49" s="3">
        <v>0</v>
      </c>
    </row>
    <row r="50" spans="1:4" x14ac:dyDescent="0.25">
      <c r="A50" t="s">
        <v>560</v>
      </c>
      <c r="B50" t="s">
        <v>561</v>
      </c>
      <c r="C50" t="s">
        <v>562</v>
      </c>
      <c r="D50" s="3">
        <v>257</v>
      </c>
    </row>
    <row r="51" spans="1:4" x14ac:dyDescent="0.25">
      <c r="A51" t="s">
        <v>563</v>
      </c>
      <c r="B51" t="s">
        <v>564</v>
      </c>
      <c r="C51" t="s">
        <v>565</v>
      </c>
      <c r="D51" s="3">
        <v>294.39</v>
      </c>
    </row>
    <row r="52" spans="1:4" x14ac:dyDescent="0.25">
      <c r="A52" t="s">
        <v>566</v>
      </c>
      <c r="B52" t="s">
        <v>567</v>
      </c>
      <c r="C52" t="s">
        <v>568</v>
      </c>
      <c r="D52" s="3">
        <v>294.39999999999998</v>
      </c>
    </row>
    <row r="53" spans="1:4" x14ac:dyDescent="0.25">
      <c r="A53" t="s">
        <v>569</v>
      </c>
      <c r="B53" t="s">
        <v>571</v>
      </c>
      <c r="C53" t="s">
        <v>570</v>
      </c>
      <c r="D53" s="3">
        <v>0</v>
      </c>
    </row>
    <row r="54" spans="1:4" x14ac:dyDescent="0.25">
      <c r="A54" t="s">
        <v>572</v>
      </c>
      <c r="B54" t="s">
        <v>575</v>
      </c>
      <c r="C54" t="s">
        <v>573</v>
      </c>
      <c r="D54" s="3">
        <v>0</v>
      </c>
    </row>
    <row r="55" spans="1:4" x14ac:dyDescent="0.25">
      <c r="A55" t="s">
        <v>576</v>
      </c>
      <c r="B55" t="s">
        <v>578</v>
      </c>
      <c r="C55" t="s">
        <v>577</v>
      </c>
      <c r="D55" s="3">
        <v>0</v>
      </c>
    </row>
    <row r="56" spans="1:4" x14ac:dyDescent="0.25">
      <c r="A56" t="s">
        <v>579</v>
      </c>
      <c r="B56" t="s">
        <v>581</v>
      </c>
      <c r="C56" t="s">
        <v>580</v>
      </c>
      <c r="D56" s="3">
        <v>0</v>
      </c>
    </row>
    <row r="57" spans="1:4" x14ac:dyDescent="0.25">
      <c r="A57" t="s">
        <v>582</v>
      </c>
      <c r="B57" t="s">
        <v>584</v>
      </c>
      <c r="C57" t="s">
        <v>583</v>
      </c>
      <c r="D57" s="3">
        <v>0</v>
      </c>
    </row>
    <row r="58" spans="1:4" x14ac:dyDescent="0.25">
      <c r="A58" t="s">
        <v>585</v>
      </c>
      <c r="B58" t="s">
        <v>586</v>
      </c>
      <c r="C58" t="s">
        <v>587</v>
      </c>
      <c r="D58" s="3">
        <v>257</v>
      </c>
    </row>
    <row r="59" spans="1:4" x14ac:dyDescent="0.25">
      <c r="A59" t="s">
        <v>588</v>
      </c>
      <c r="B59" t="s">
        <v>589</v>
      </c>
      <c r="C59" t="s">
        <v>590</v>
      </c>
      <c r="D59" s="3">
        <v>257</v>
      </c>
    </row>
    <row r="60" spans="1:4" x14ac:dyDescent="0.25">
      <c r="A60" t="s">
        <v>591</v>
      </c>
      <c r="B60" t="s">
        <v>574</v>
      </c>
      <c r="C60" t="s">
        <v>592</v>
      </c>
      <c r="D60" s="3">
        <v>20.83</v>
      </c>
    </row>
    <row r="61" spans="1:4" x14ac:dyDescent="0.25">
      <c r="A61" t="s">
        <v>593</v>
      </c>
      <c r="B61" t="s">
        <v>594</v>
      </c>
      <c r="C61" t="s">
        <v>595</v>
      </c>
      <c r="D61" s="3">
        <v>294.39999999999998</v>
      </c>
    </row>
    <row r="62" spans="1:4" x14ac:dyDescent="0.25">
      <c r="A62" t="s">
        <v>596</v>
      </c>
      <c r="B62" t="s">
        <v>597</v>
      </c>
      <c r="C62" t="s">
        <v>598</v>
      </c>
      <c r="D62" s="3">
        <v>257</v>
      </c>
    </row>
    <row r="63" spans="1:4" x14ac:dyDescent="0.25">
      <c r="A63" t="s">
        <v>599</v>
      </c>
      <c r="B63" t="s">
        <v>601</v>
      </c>
      <c r="C63" t="s">
        <v>600</v>
      </c>
      <c r="D63" s="3">
        <v>0</v>
      </c>
    </row>
    <row r="64" spans="1:4" x14ac:dyDescent="0.25">
      <c r="A64" t="s">
        <v>602</v>
      </c>
      <c r="B64" t="s">
        <v>603</v>
      </c>
      <c r="C64" t="s">
        <v>604</v>
      </c>
      <c r="D64" s="3">
        <v>257</v>
      </c>
    </row>
    <row r="65" spans="1:4" x14ac:dyDescent="0.25">
      <c r="A65" t="s">
        <v>605</v>
      </c>
      <c r="B65" t="s">
        <v>606</v>
      </c>
      <c r="C65" t="s">
        <v>607</v>
      </c>
      <c r="D65" s="3">
        <v>257</v>
      </c>
    </row>
    <row r="66" spans="1:4" x14ac:dyDescent="0.25">
      <c r="A66" t="s">
        <v>593</v>
      </c>
      <c r="B66" t="s">
        <v>608</v>
      </c>
      <c r="C66" t="s">
        <v>609</v>
      </c>
      <c r="D66" s="3">
        <v>294.39999999999998</v>
      </c>
    </row>
    <row r="67" spans="1:4" x14ac:dyDescent="0.25">
      <c r="A67" t="s">
        <v>610</v>
      </c>
      <c r="B67" t="s">
        <v>611</v>
      </c>
      <c r="C67" t="s">
        <v>612</v>
      </c>
      <c r="D67" s="3">
        <v>257</v>
      </c>
    </row>
    <row r="68" spans="1:4" x14ac:dyDescent="0.25">
      <c r="A68" t="s">
        <v>613</v>
      </c>
      <c r="B68" t="s">
        <v>614</v>
      </c>
      <c r="C68" t="s">
        <v>615</v>
      </c>
      <c r="D68" s="3">
        <v>257</v>
      </c>
    </row>
    <row r="69" spans="1:4" x14ac:dyDescent="0.25">
      <c r="A69" t="s">
        <v>616</v>
      </c>
      <c r="B69" t="s">
        <v>617</v>
      </c>
      <c r="C69" t="s">
        <v>618</v>
      </c>
      <c r="D69" s="3">
        <v>294.39999999999998</v>
      </c>
    </row>
    <row r="70" spans="1:4" x14ac:dyDescent="0.25">
      <c r="A70" t="s">
        <v>619</v>
      </c>
      <c r="B70" t="s">
        <v>620</v>
      </c>
      <c r="C70" t="s">
        <v>621</v>
      </c>
      <c r="D70" s="3">
        <v>257</v>
      </c>
    </row>
    <row r="71" spans="1:4" x14ac:dyDescent="0.25">
      <c r="A71" t="s">
        <v>622</v>
      </c>
      <c r="B71" t="s">
        <v>623</v>
      </c>
      <c r="C71" t="s">
        <v>624</v>
      </c>
      <c r="D71" s="3">
        <v>0</v>
      </c>
    </row>
    <row r="72" spans="1:4" x14ac:dyDescent="0.25">
      <c r="A72" t="s">
        <v>625</v>
      </c>
      <c r="B72" t="s">
        <v>626</v>
      </c>
      <c r="C72" t="s">
        <v>627</v>
      </c>
      <c r="D72" s="3">
        <v>257</v>
      </c>
    </row>
    <row r="73" spans="1:4" x14ac:dyDescent="0.25">
      <c r="A73" t="s">
        <v>628</v>
      </c>
      <c r="B73" t="s">
        <v>629</v>
      </c>
      <c r="C73" t="s">
        <v>630</v>
      </c>
      <c r="D73" s="3">
        <v>294.39</v>
      </c>
    </row>
    <row r="74" spans="1:4" x14ac:dyDescent="0.25">
      <c r="A74" t="s">
        <v>631</v>
      </c>
      <c r="B74" t="s">
        <v>632</v>
      </c>
      <c r="C74" t="s">
        <v>633</v>
      </c>
      <c r="D74" s="3">
        <v>272.42</v>
      </c>
    </row>
    <row r="75" spans="1:4" x14ac:dyDescent="0.25">
      <c r="A75" t="s">
        <v>379</v>
      </c>
      <c r="B75" t="s">
        <v>635</v>
      </c>
      <c r="C75" t="s">
        <v>634</v>
      </c>
      <c r="D75" s="3">
        <v>0</v>
      </c>
    </row>
    <row r="76" spans="1:4" x14ac:dyDescent="0.25">
      <c r="A76" t="s">
        <v>636</v>
      </c>
      <c r="B76" t="s">
        <v>637</v>
      </c>
      <c r="C76" t="s">
        <v>638</v>
      </c>
      <c r="D76" s="3">
        <v>257</v>
      </c>
    </row>
    <row r="77" spans="1:4" x14ac:dyDescent="0.25">
      <c r="A77" t="s">
        <v>639</v>
      </c>
      <c r="B77" t="s">
        <v>640</v>
      </c>
      <c r="C77" t="s">
        <v>641</v>
      </c>
      <c r="D77" s="3">
        <v>272.42</v>
      </c>
    </row>
    <row r="78" spans="1:4" x14ac:dyDescent="0.25">
      <c r="A78" t="s">
        <v>642</v>
      </c>
      <c r="B78" t="s">
        <v>643</v>
      </c>
      <c r="C78" t="s">
        <v>644</v>
      </c>
      <c r="D78" s="3">
        <v>257</v>
      </c>
    </row>
    <row r="79" spans="1:4" x14ac:dyDescent="0.25">
      <c r="A79" t="s">
        <v>645</v>
      </c>
      <c r="B79" t="s">
        <v>646</v>
      </c>
      <c r="C79" t="s">
        <v>647</v>
      </c>
      <c r="D79" s="3">
        <v>294.39</v>
      </c>
    </row>
    <row r="80" spans="1:4" x14ac:dyDescent="0.25">
      <c r="A80" t="s">
        <v>648</v>
      </c>
      <c r="B80" t="s">
        <v>649</v>
      </c>
      <c r="C80" t="s">
        <v>650</v>
      </c>
      <c r="D80" s="3">
        <v>312.05</v>
      </c>
    </row>
    <row r="81" spans="1:4" x14ac:dyDescent="0.25">
      <c r="A81" t="s">
        <v>651</v>
      </c>
      <c r="B81" t="s">
        <v>652</v>
      </c>
      <c r="C81" t="s">
        <v>653</v>
      </c>
      <c r="D81" s="3">
        <v>257</v>
      </c>
    </row>
    <row r="82" spans="1:4" x14ac:dyDescent="0.25">
      <c r="A82" t="s">
        <v>654</v>
      </c>
      <c r="B82" t="s">
        <v>655</v>
      </c>
      <c r="C82" t="s">
        <v>656</v>
      </c>
      <c r="D82" s="3">
        <v>294.39999999999998</v>
      </c>
    </row>
    <row r="83" spans="1:4" x14ac:dyDescent="0.25">
      <c r="A83" t="s">
        <v>657</v>
      </c>
      <c r="B83" t="s">
        <v>658</v>
      </c>
      <c r="C83" t="s">
        <v>659</v>
      </c>
      <c r="D83" s="3">
        <v>257</v>
      </c>
    </row>
    <row r="84" spans="1:4" x14ac:dyDescent="0.25">
      <c r="A84" t="s">
        <v>660</v>
      </c>
      <c r="B84" t="s">
        <v>661</v>
      </c>
      <c r="C84" t="s">
        <v>662</v>
      </c>
      <c r="D84" s="3">
        <v>257</v>
      </c>
    </row>
    <row r="85" spans="1:4" x14ac:dyDescent="0.25">
      <c r="A85" t="s">
        <v>663</v>
      </c>
      <c r="B85" t="s">
        <v>664</v>
      </c>
      <c r="C85" t="s">
        <v>665</v>
      </c>
      <c r="D85" s="3">
        <v>257</v>
      </c>
    </row>
    <row r="86" spans="1:4" x14ac:dyDescent="0.25">
      <c r="A86" t="s">
        <v>666</v>
      </c>
      <c r="B86" t="s">
        <v>667</v>
      </c>
      <c r="C86" t="s">
        <v>668</v>
      </c>
      <c r="D86" s="3">
        <v>257</v>
      </c>
    </row>
    <row r="87" spans="1:4" x14ac:dyDescent="0.25">
      <c r="A87" t="s">
        <v>669</v>
      </c>
      <c r="B87" t="s">
        <v>670</v>
      </c>
      <c r="C87" t="s">
        <v>671</v>
      </c>
      <c r="D87" s="3">
        <v>257</v>
      </c>
    </row>
    <row r="88" spans="1:4" x14ac:dyDescent="0.25">
      <c r="A88" t="s">
        <v>672</v>
      </c>
      <c r="B88" t="s">
        <v>673</v>
      </c>
      <c r="C88" t="s">
        <v>674</v>
      </c>
      <c r="D88" s="3">
        <v>294.39</v>
      </c>
    </row>
    <row r="89" spans="1:4" x14ac:dyDescent="0.25">
      <c r="A89" t="s">
        <v>675</v>
      </c>
      <c r="B89" t="s">
        <v>676</v>
      </c>
      <c r="C89" t="s">
        <v>677</v>
      </c>
      <c r="D89" s="3">
        <v>294.39</v>
      </c>
    </row>
    <row r="90" spans="1:4" x14ac:dyDescent="0.25">
      <c r="A90" t="s">
        <v>678</v>
      </c>
      <c r="B90" t="s">
        <v>679</v>
      </c>
      <c r="C90" t="s">
        <v>680</v>
      </c>
      <c r="D90" s="3">
        <v>294.39</v>
      </c>
    </row>
    <row r="91" spans="1:4" x14ac:dyDescent="0.25">
      <c r="A91" t="s">
        <v>681</v>
      </c>
      <c r="B91" t="s">
        <v>682</v>
      </c>
      <c r="C91" t="s">
        <v>683</v>
      </c>
      <c r="D91" s="3">
        <v>294.39</v>
      </c>
    </row>
    <row r="92" spans="1:4" x14ac:dyDescent="0.25">
      <c r="A92" t="s">
        <v>684</v>
      </c>
      <c r="B92" t="s">
        <v>685</v>
      </c>
      <c r="C92" t="s">
        <v>686</v>
      </c>
      <c r="D92" s="3">
        <v>257</v>
      </c>
    </row>
    <row r="93" spans="1:4" x14ac:dyDescent="0.25">
      <c r="A93" t="s">
        <v>687</v>
      </c>
      <c r="B93" t="s">
        <v>688</v>
      </c>
      <c r="C93" t="s">
        <v>689</v>
      </c>
      <c r="D93" s="3">
        <v>294.39</v>
      </c>
    </row>
    <row r="94" spans="1:4" x14ac:dyDescent="0.25">
      <c r="A94" t="s">
        <v>690</v>
      </c>
      <c r="B94" t="s">
        <v>575</v>
      </c>
      <c r="C94" t="s">
        <v>691</v>
      </c>
      <c r="D94" s="3">
        <v>22.92</v>
      </c>
    </row>
    <row r="95" spans="1:4" x14ac:dyDescent="0.25">
      <c r="A95" t="s">
        <v>692</v>
      </c>
      <c r="B95" t="s">
        <v>693</v>
      </c>
      <c r="C95" t="s">
        <v>694</v>
      </c>
      <c r="D95" s="3">
        <v>294.39</v>
      </c>
    </row>
    <row r="96" spans="1:4" x14ac:dyDescent="0.25">
      <c r="A96" t="s">
        <v>695</v>
      </c>
      <c r="B96" t="s">
        <v>696</v>
      </c>
      <c r="C96" t="s">
        <v>697</v>
      </c>
      <c r="D96" s="3">
        <v>294.39</v>
      </c>
    </row>
    <row r="97" spans="1:4" x14ac:dyDescent="0.25">
      <c r="A97" t="s">
        <v>698</v>
      </c>
      <c r="B97" t="s">
        <v>699</v>
      </c>
      <c r="C97" t="s">
        <v>700</v>
      </c>
      <c r="D97" s="3">
        <v>294.39</v>
      </c>
    </row>
    <row r="98" spans="1:4" x14ac:dyDescent="0.25">
      <c r="A98" t="s">
        <v>701</v>
      </c>
      <c r="B98" t="s">
        <v>702</v>
      </c>
      <c r="C98" t="s">
        <v>703</v>
      </c>
      <c r="D98" s="3">
        <v>257</v>
      </c>
    </row>
    <row r="99" spans="1:4" x14ac:dyDescent="0.25">
      <c r="A99" t="s">
        <v>704</v>
      </c>
      <c r="B99" t="s">
        <v>705</v>
      </c>
      <c r="C99" t="s">
        <v>706</v>
      </c>
      <c r="D99" s="3">
        <v>250</v>
      </c>
    </row>
    <row r="100" spans="1:4" x14ac:dyDescent="0.25">
      <c r="A100" t="s">
        <v>707</v>
      </c>
      <c r="B100" t="s">
        <v>708</v>
      </c>
      <c r="C100" t="s">
        <v>709</v>
      </c>
      <c r="D100" s="3">
        <v>257</v>
      </c>
    </row>
    <row r="101" spans="1:4" x14ac:dyDescent="0.25">
      <c r="A101" t="s">
        <v>710</v>
      </c>
      <c r="B101" t="s">
        <v>711</v>
      </c>
      <c r="C101" t="s">
        <v>712</v>
      </c>
      <c r="D101" s="3">
        <v>257</v>
      </c>
    </row>
    <row r="102" spans="1:4" x14ac:dyDescent="0.25">
      <c r="A102" t="s">
        <v>713</v>
      </c>
      <c r="B102" t="s">
        <v>714</v>
      </c>
      <c r="C102" t="s">
        <v>715</v>
      </c>
      <c r="D102" s="3">
        <v>1172.5</v>
      </c>
    </row>
    <row r="103" spans="1:4" x14ac:dyDescent="0.25">
      <c r="A103" t="s">
        <v>716</v>
      </c>
      <c r="B103" t="s">
        <v>717</v>
      </c>
      <c r="C103" t="s">
        <v>718</v>
      </c>
      <c r="D103" s="3">
        <v>294.39</v>
      </c>
    </row>
    <row r="104" spans="1:4" x14ac:dyDescent="0.25">
      <c r="A104" t="s">
        <v>719</v>
      </c>
      <c r="B104" t="s">
        <v>720</v>
      </c>
      <c r="C104" t="s">
        <v>721</v>
      </c>
      <c r="D104" s="3">
        <v>2594.13</v>
      </c>
    </row>
    <row r="105" spans="1:4" x14ac:dyDescent="0.25">
      <c r="A105" t="s">
        <v>722</v>
      </c>
      <c r="B105" t="s">
        <v>723</v>
      </c>
      <c r="C105" t="s">
        <v>724</v>
      </c>
      <c r="D105" s="3">
        <v>50</v>
      </c>
    </row>
    <row r="106" spans="1:4" x14ac:dyDescent="0.25">
      <c r="A106" t="s">
        <v>725</v>
      </c>
      <c r="B106" t="s">
        <v>726</v>
      </c>
      <c r="C106" t="s">
        <v>727</v>
      </c>
      <c r="D106" s="3">
        <v>294.39</v>
      </c>
    </row>
    <row r="107" spans="1:4" x14ac:dyDescent="0.25">
      <c r="A107" t="s">
        <v>728</v>
      </c>
      <c r="B107" t="s">
        <v>730</v>
      </c>
      <c r="C107" t="s">
        <v>729</v>
      </c>
      <c r="D107" s="3">
        <v>1875</v>
      </c>
    </row>
    <row r="108" spans="1:4" x14ac:dyDescent="0.25">
      <c r="A108" t="s">
        <v>731</v>
      </c>
      <c r="B108" t="s">
        <v>732</v>
      </c>
      <c r="C108" t="s">
        <v>733</v>
      </c>
      <c r="D108" s="3">
        <v>1000</v>
      </c>
    </row>
    <row r="109" spans="1:4" x14ac:dyDescent="0.25">
      <c r="A109" t="s">
        <v>734</v>
      </c>
      <c r="B109" t="s">
        <v>735</v>
      </c>
      <c r="C109" t="s">
        <v>736</v>
      </c>
      <c r="D109" s="3">
        <v>925</v>
      </c>
    </row>
    <row r="110" spans="1:4" x14ac:dyDescent="0.25">
      <c r="A110" t="s">
        <v>737</v>
      </c>
      <c r="B110" t="s">
        <v>738</v>
      </c>
      <c r="C110" t="s">
        <v>739</v>
      </c>
      <c r="D110" s="3">
        <v>294.39</v>
      </c>
    </row>
    <row r="111" spans="1:4" x14ac:dyDescent="0.25">
      <c r="A111" t="s">
        <v>740</v>
      </c>
      <c r="B111" t="s">
        <v>741</v>
      </c>
      <c r="C111" t="s">
        <v>742</v>
      </c>
      <c r="D111" s="3">
        <v>5160</v>
      </c>
    </row>
    <row r="112" spans="1:4" x14ac:dyDescent="0.25">
      <c r="A112" t="s">
        <v>743</v>
      </c>
      <c r="B112" t="s">
        <v>744</v>
      </c>
      <c r="C112" t="s">
        <v>745</v>
      </c>
      <c r="D112" s="3">
        <v>7200</v>
      </c>
    </row>
    <row r="113" spans="1:4" x14ac:dyDescent="0.25">
      <c r="A113" t="s">
        <v>746</v>
      </c>
      <c r="B113" t="s">
        <v>747</v>
      </c>
      <c r="C113" t="s">
        <v>748</v>
      </c>
      <c r="D113" s="3">
        <v>257</v>
      </c>
    </row>
    <row r="114" spans="1:4" x14ac:dyDescent="0.25">
      <c r="A114" t="s">
        <v>749</v>
      </c>
      <c r="B114" t="s">
        <v>750</v>
      </c>
      <c r="C114" t="s">
        <v>751</v>
      </c>
      <c r="D114" s="3">
        <v>50</v>
      </c>
    </row>
    <row r="115" spans="1:4" x14ac:dyDescent="0.25">
      <c r="A115" t="s">
        <v>752</v>
      </c>
      <c r="B115" t="s">
        <v>753</v>
      </c>
      <c r="C115" t="s">
        <v>754</v>
      </c>
      <c r="D115" s="3">
        <v>294.39</v>
      </c>
    </row>
    <row r="116" spans="1:4" x14ac:dyDescent="0.25">
      <c r="A116" t="s">
        <v>755</v>
      </c>
      <c r="B116" t="s">
        <v>756</v>
      </c>
      <c r="C116" t="s">
        <v>757</v>
      </c>
      <c r="D116" s="3">
        <v>1675</v>
      </c>
    </row>
    <row r="117" spans="1:4" x14ac:dyDescent="0.25">
      <c r="A117" t="s">
        <v>758</v>
      </c>
      <c r="B117" t="s">
        <v>759</v>
      </c>
      <c r="C117" t="s">
        <v>760</v>
      </c>
      <c r="D117" s="3">
        <v>0</v>
      </c>
    </row>
    <row r="118" spans="1:4" x14ac:dyDescent="0.25">
      <c r="A118" t="s">
        <v>761</v>
      </c>
      <c r="B118" t="s">
        <v>762</v>
      </c>
      <c r="C118" t="s">
        <v>763</v>
      </c>
      <c r="D118" s="3">
        <v>294.39</v>
      </c>
    </row>
    <row r="119" spans="1:4" x14ac:dyDescent="0.25">
      <c r="A119" t="s">
        <v>764</v>
      </c>
      <c r="B119" t="s">
        <v>419</v>
      </c>
      <c r="C119" t="s">
        <v>765</v>
      </c>
      <c r="D119" s="3">
        <v>0</v>
      </c>
    </row>
    <row r="120" spans="1:4" x14ac:dyDescent="0.25">
      <c r="A120" t="s">
        <v>766</v>
      </c>
      <c r="B120" t="s">
        <v>767</v>
      </c>
      <c r="C120" t="s">
        <v>768</v>
      </c>
      <c r="D120" s="3">
        <v>0</v>
      </c>
    </row>
    <row r="121" spans="1:4" x14ac:dyDescent="0.25">
      <c r="A121" t="s">
        <v>769</v>
      </c>
      <c r="B121" t="s">
        <v>770</v>
      </c>
      <c r="C121" t="s">
        <v>771</v>
      </c>
      <c r="D121" s="3">
        <v>3939.17</v>
      </c>
    </row>
    <row r="122" spans="1:4" x14ac:dyDescent="0.25">
      <c r="A122" t="s">
        <v>772</v>
      </c>
      <c r="B122" t="s">
        <v>773</v>
      </c>
      <c r="C122" t="s">
        <v>774</v>
      </c>
      <c r="D122" s="3">
        <v>875</v>
      </c>
    </row>
    <row r="123" spans="1:4" x14ac:dyDescent="0.25">
      <c r="D123"/>
    </row>
    <row r="124" spans="1:4" x14ac:dyDescent="0.25">
      <c r="A124" t="s">
        <v>775</v>
      </c>
      <c r="D124" s="3">
        <f>SUM(D7:D123)</f>
        <v>51905.099999999984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minimum noncancelable leases w/s</dc:title>
  <dc:creator>Susan L. Fay</dc:creator>
  <cp:lastModifiedBy>Don Poore</cp:lastModifiedBy>
  <cp:lastPrinted>2007-10-10T16:42:52Z</cp:lastPrinted>
  <dcterms:created xsi:type="dcterms:W3CDTF">2000-01-04T17:48:28Z</dcterms:created>
  <dcterms:modified xsi:type="dcterms:W3CDTF">2018-03-06T17:26:43Z</dcterms:modified>
</cp:coreProperties>
</file>