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1999-2020" sheetId="1" r:id="rId1"/>
    <sheet name="% of market Share" sheetId="2" state="hidden" r:id="rId2"/>
    <sheet name="ORIG" sheetId="3" state="hidden" r:id="rId3"/>
  </sheets>
  <externalReferences>
    <externalReference r:id="rId6"/>
  </externalReferences>
  <definedNames>
    <definedName name="_xlnm.Print_Area" localSheetId="0">'1999-2020'!$A$602:$O$609</definedName>
    <definedName name="_xlnm.Print_Area" localSheetId="2">'ORIG'!$A$1:$K$156</definedName>
    <definedName name="_xlnm.Print_Titles" localSheetId="1">'% of market Share'!$1:$5</definedName>
    <definedName name="_xlnm.Print_Titles" localSheetId="0">'1999-2020'!$1:$5</definedName>
    <definedName name="_xlnm.Print_Titles" localSheetId="2">'ORIG'!$1:$5</definedName>
  </definedNames>
  <calcPr fullCalcOnLoad="1"/>
</workbook>
</file>

<file path=xl/sharedStrings.xml><?xml version="1.0" encoding="utf-8"?>
<sst xmlns="http://schemas.openxmlformats.org/spreadsheetml/2006/main" count="1394" uniqueCount="211">
  <si>
    <t>Alamo</t>
  </si>
  <si>
    <t>Avis</t>
  </si>
  <si>
    <t>Budget</t>
  </si>
  <si>
    <t>Dollar</t>
  </si>
  <si>
    <t>Hertz</t>
  </si>
  <si>
    <t>Specialty</t>
  </si>
  <si>
    <t>Totals</t>
  </si>
  <si>
    <t>Wholesale</t>
  </si>
  <si>
    <t>Retail</t>
  </si>
  <si>
    <t>Totals 99</t>
  </si>
  <si>
    <t>Totals 00</t>
  </si>
  <si>
    <t>Totals 01</t>
  </si>
  <si>
    <t>Orlando Sanford Airport</t>
  </si>
  <si>
    <t>Car Rental Market Share</t>
  </si>
  <si>
    <t>Totals 02</t>
  </si>
  <si>
    <t>10/1/01 - 9/30/02</t>
  </si>
  <si>
    <t>Totals 03</t>
  </si>
  <si>
    <t>10/1/02 - 9/30/03</t>
  </si>
  <si>
    <t>W</t>
  </si>
  <si>
    <t>R</t>
  </si>
  <si>
    <t>Enterprise</t>
  </si>
  <si>
    <t>Average</t>
  </si>
  <si>
    <t>Jan-04</t>
  </si>
  <si>
    <t>Totals 04</t>
  </si>
  <si>
    <t>GRAND</t>
  </si>
  <si>
    <t>TOTAL</t>
  </si>
  <si>
    <t>10/01/03 - 9/30/04</t>
  </si>
  <si>
    <t>10/01/00 - 9/30/01</t>
  </si>
  <si>
    <t>10/01/99 - 9/30/00</t>
  </si>
  <si>
    <t>1/01/99 - 9/30/99</t>
  </si>
  <si>
    <t>E-Z RENT</t>
  </si>
  <si>
    <t>10/01/04 - 9/30/05</t>
  </si>
  <si>
    <t>Jan-05</t>
  </si>
  <si>
    <t>Totals 05</t>
  </si>
  <si>
    <t>Thrifty</t>
  </si>
  <si>
    <t>10/01/05-09/30/06</t>
  </si>
  <si>
    <t>Totals 06</t>
  </si>
  <si>
    <t>Jan-06</t>
  </si>
  <si>
    <t>10/01/06-09/30/07</t>
  </si>
  <si>
    <t>Feb-07</t>
  </si>
  <si>
    <t>Jan-07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</si>
  <si>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</si>
  <si>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</si>
  <si>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</si>
  <si>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</si>
  <si>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</si>
  <si>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</si>
  <si>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</si>
  <si>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</si>
  <si>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</si>
  <si>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Totals 07</t>
  </si>
  <si>
    <t>Dec-07</t>
  </si>
  <si>
    <t>10/01/07-09/30/08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</si>
  <si>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</si>
  <si>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</si>
  <si>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</si>
  <si>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</si>
  <si>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</si>
  <si>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</si>
  <si>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</si>
  <si>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</si>
  <si>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</si>
  <si>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</si>
  <si>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</si>
  <si>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</si>
  <si>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Totals 08</t>
  </si>
  <si>
    <t>Feb-09</t>
  </si>
  <si>
    <t>Jan-09</t>
  </si>
  <si>
    <t>Totals 09</t>
  </si>
  <si>
    <t>10/01/08-09/30/09</t>
  </si>
  <si>
    <t>Mar-09</t>
  </si>
  <si>
    <t>Apr-09</t>
  </si>
  <si>
    <t>May-09</t>
  </si>
  <si>
    <t>Jun-09</t>
  </si>
  <si>
    <t>Jul-09</t>
  </si>
  <si>
    <t>Aug-09</t>
  </si>
  <si>
    <t>Sep-09</t>
  </si>
  <si>
    <t>Oct-09</t>
  </si>
  <si>
    <t>Nov-09</t>
  </si>
  <si>
    <t>Dec-09</t>
  </si>
  <si>
    <t>10/01/09-09/30/10</t>
  </si>
  <si>
    <t>Totals 10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</si>
  <si>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</si>
  <si>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</si>
  <si>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</si>
  <si>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</si>
  <si>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</si>
  <si>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</si>
  <si>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</si>
  <si>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</si>
  <si>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</si>
  <si>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</si>
  <si>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</si>
  <si>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</si>
  <si>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10/01/10-09/30/11</t>
  </si>
  <si>
    <t>Jan-11</t>
  </si>
  <si>
    <t>Totals 11</t>
  </si>
  <si>
    <t>Feb-11</t>
  </si>
  <si>
    <t>Mar-11</t>
  </si>
  <si>
    <t>Apr-11</t>
  </si>
  <si>
    <t>May-11</t>
  </si>
  <si>
    <t>June-11</t>
  </si>
  <si>
    <t>July-11</t>
  </si>
  <si>
    <t>Aug-11</t>
  </si>
  <si>
    <t>Sep-11</t>
  </si>
  <si>
    <t>Oct-11</t>
  </si>
  <si>
    <t>10/01/11-09/30/12</t>
  </si>
  <si>
    <t>Nov-11</t>
  </si>
  <si>
    <t>Dec-11</t>
  </si>
  <si>
    <t>Totals 12</t>
  </si>
  <si>
    <t>Advantage</t>
  </si>
  <si>
    <t>10/01/12-09/30/13</t>
  </si>
  <si>
    <t>Totals 13</t>
  </si>
  <si>
    <t>FL Van</t>
  </si>
  <si>
    <t>10/01/13-09/30/14</t>
  </si>
  <si>
    <t>Totals 14</t>
  </si>
  <si>
    <t>10/01/14-09/30/15</t>
  </si>
  <si>
    <t>Jan-15</t>
  </si>
  <si>
    <t>Feb-15</t>
  </si>
  <si>
    <t>Totals 15</t>
  </si>
  <si>
    <t>Jun-15</t>
  </si>
  <si>
    <t>Jul-15</t>
  </si>
  <si>
    <t>Aug-15</t>
  </si>
  <si>
    <t>Sep-15</t>
  </si>
  <si>
    <t>Oct-15</t>
  </si>
  <si>
    <t>10/01/15-09/30/16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</si>
  <si>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</si>
  <si>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</si>
  <si>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</si>
  <si>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</si>
  <si>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</si>
  <si>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</si>
  <si>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</si>
  <si>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</si>
  <si>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</si>
  <si>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</si>
  <si>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</si>
  <si>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</si>
  <si>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</si>
  <si>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</si>
  <si>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Totals 16</t>
  </si>
  <si>
    <t>10/01/16-09/30/17</t>
  </si>
  <si>
    <t>Jan-17</t>
  </si>
  <si>
    <t>Feb-17</t>
  </si>
  <si>
    <t>Mar-17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</si>
  <si>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</si>
  <si>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</si>
  <si>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</si>
  <si>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</si>
  <si>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</si>
  <si>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</si>
  <si>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</si>
  <si>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</si>
  <si>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</si>
  <si>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Totals 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</si>
  <si>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</si>
  <si>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</si>
  <si>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</si>
  <si>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</si>
  <si>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</si>
  <si>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</si>
  <si>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</si>
  <si>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</si>
  <si>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</si>
  <si>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</si>
  <si>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</si>
  <si>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</si>
  <si>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Totals 18</t>
  </si>
  <si>
    <t>10/01/17-09/30/18</t>
  </si>
  <si>
    <t>10/01/18-09/30/19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</si>
  <si>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</si>
  <si>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</si>
  <si>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</si>
  <si>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</si>
  <si>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</si>
  <si>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</si>
  <si>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</si>
  <si>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</si>
  <si>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</si>
  <si>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</si>
  <si>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</si>
  <si>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Totals 19</t>
  </si>
  <si>
    <t>10/01/19-09/30/20</t>
  </si>
  <si>
    <t>Dec-19</t>
  </si>
  <si>
    <t>Jan-20</t>
  </si>
  <si>
    <t>Dec-20</t>
  </si>
  <si>
    <t>Nov-20</t>
  </si>
  <si>
    <t>Oct-20</t>
  </si>
  <si>
    <t>Sep-20</t>
  </si>
  <si>
    <t>Aug-20</t>
  </si>
  <si>
    <t>Jul-20</t>
  </si>
  <si>
    <t>Jun-20</t>
  </si>
  <si>
    <t>May-20</t>
  </si>
  <si>
    <t>Apr-20</t>
  </si>
  <si>
    <t>Mar-20</t>
  </si>
  <si>
    <t>Feb-20</t>
  </si>
  <si>
    <t>Totals 20</t>
  </si>
  <si>
    <t>10/01/20-09/30/21</t>
  </si>
  <si>
    <t>Jan-21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</si>
  <si>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</si>
  <si>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</si>
  <si>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</si>
  <si>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</si>
  <si>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</si>
  <si>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</si>
  <si>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</si>
  <si>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</si>
  <si>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</si>
  <si>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Feb-21</t>
  </si>
  <si>
    <t>Mar-21</t>
  </si>
  <si>
    <t>Totals 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</si>
</sst>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43" fontId="0" fillId="34" borderId="0" xfId="0" applyNumberFormat="1" applyFill="1" applyAlignment="1">
      <alignment/>
    </xf>
    <xf numFmtId="43" fontId="0" fillId="35" borderId="0" xfId="0" applyNumberFormat="1" applyFont="1" applyFill="1" applyAlignment="1">
      <alignment/>
    </xf>
    <xf numFmtId="43" fontId="0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43" fontId="0" fillId="34" borderId="0" xfId="0" applyNumberFormat="1" applyFont="1" applyFill="1" applyAlignment="1">
      <alignment/>
    </xf>
    <xf numFmtId="43" fontId="0" fillId="35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36" borderId="0" xfId="0" applyNumberFormat="1" applyFill="1" applyAlignment="1">
      <alignment/>
    </xf>
    <xf numFmtId="43" fontId="0" fillId="36" borderId="0" xfId="0" applyNumberFormat="1" applyFont="1" applyFill="1" applyAlignment="1">
      <alignment/>
    </xf>
    <xf numFmtId="43" fontId="0" fillId="35" borderId="11" xfId="0" applyNumberFormat="1" applyFont="1" applyFill="1" applyBorder="1" applyAlignment="1">
      <alignment/>
    </xf>
    <xf numFmtId="43" fontId="0" fillId="36" borderId="10" xfId="0" applyNumberFormat="1" applyFont="1" applyFill="1" applyBorder="1" applyAlignment="1">
      <alignment/>
    </xf>
    <xf numFmtId="43" fontId="0" fillId="36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43" fontId="0" fillId="0" borderId="13" xfId="0" applyNumberFormat="1" applyBorder="1" applyAlignment="1">
      <alignment/>
    </xf>
    <xf numFmtId="17" fontId="0" fillId="33" borderId="14" xfId="0" applyNumberFormat="1" applyFill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43" fontId="0" fillId="35" borderId="16" xfId="0" applyNumberFormat="1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43" fontId="0" fillId="35" borderId="18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43" fontId="0" fillId="36" borderId="16" xfId="0" applyNumberFormat="1" applyFont="1" applyFill="1" applyBorder="1" applyAlignment="1">
      <alignment/>
    </xf>
    <xf numFmtId="0" fontId="0" fillId="36" borderId="17" xfId="0" applyFont="1" applyFill="1" applyBorder="1" applyAlignment="1">
      <alignment horizontal="center"/>
    </xf>
    <xf numFmtId="43" fontId="0" fillId="36" borderId="18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43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43" fontId="0" fillId="33" borderId="18" xfId="0" applyNumberFormat="1" applyFill="1" applyBorder="1" applyAlignment="1">
      <alignment/>
    </xf>
    <xf numFmtId="0" fontId="0" fillId="34" borderId="15" xfId="0" applyFill="1" applyBorder="1" applyAlignment="1">
      <alignment/>
    </xf>
    <xf numFmtId="43" fontId="0" fillId="34" borderId="16" xfId="0" applyNumberFormat="1" applyFill="1" applyBorder="1" applyAlignment="1">
      <alignment/>
    </xf>
    <xf numFmtId="0" fontId="0" fillId="34" borderId="17" xfId="0" applyFill="1" applyBorder="1" applyAlignment="1">
      <alignment horizontal="center"/>
    </xf>
    <xf numFmtId="43" fontId="0" fillId="34" borderId="18" xfId="0" applyNumberFormat="1" applyFill="1" applyBorder="1" applyAlignment="1">
      <alignment/>
    </xf>
    <xf numFmtId="0" fontId="0" fillId="34" borderId="15" xfId="0" applyFont="1" applyFill="1" applyBorder="1" applyAlignment="1">
      <alignment/>
    </xf>
    <xf numFmtId="43" fontId="0" fillId="34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43" fontId="0" fillId="34" borderId="18" xfId="0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7" xfId="0" applyFill="1" applyBorder="1" applyAlignment="1">
      <alignment horizontal="center"/>
    </xf>
    <xf numFmtId="43" fontId="0" fillId="37" borderId="0" xfId="0" applyNumberFormat="1" applyFill="1" applyAlignment="1">
      <alignment/>
    </xf>
    <xf numFmtId="0" fontId="0" fillId="33" borderId="19" xfId="0" applyFill="1" applyBorder="1" applyAlignment="1">
      <alignment/>
    </xf>
    <xf numFmtId="43" fontId="0" fillId="33" borderId="20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43" fontId="0" fillId="33" borderId="22" xfId="0" applyNumberFormat="1" applyFill="1" applyBorder="1" applyAlignment="1">
      <alignment/>
    </xf>
    <xf numFmtId="0" fontId="0" fillId="34" borderId="19" xfId="0" applyFill="1" applyBorder="1" applyAlignment="1">
      <alignment/>
    </xf>
    <xf numFmtId="43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43" fontId="0" fillId="34" borderId="22" xfId="0" applyNumberFormat="1" applyFill="1" applyBorder="1" applyAlignment="1">
      <alignment/>
    </xf>
    <xf numFmtId="0" fontId="0" fillId="35" borderId="19" xfId="0" applyFont="1" applyFill="1" applyBorder="1" applyAlignment="1">
      <alignment/>
    </xf>
    <xf numFmtId="43" fontId="0" fillId="35" borderId="20" xfId="0" applyNumberFormat="1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3" fontId="0" fillId="35" borderId="22" xfId="0" applyNumberFormat="1" applyFont="1" applyFill="1" applyBorder="1" applyAlignment="1">
      <alignment/>
    </xf>
    <xf numFmtId="0" fontId="0" fillId="36" borderId="19" xfId="0" applyFill="1" applyBorder="1" applyAlignment="1">
      <alignment horizontal="center"/>
    </xf>
    <xf numFmtId="43" fontId="0" fillId="36" borderId="20" xfId="0" applyNumberFormat="1" applyFont="1" applyFill="1" applyBorder="1" applyAlignment="1">
      <alignment/>
    </xf>
    <xf numFmtId="0" fontId="0" fillId="36" borderId="21" xfId="0" applyFill="1" applyBorder="1" applyAlignment="1">
      <alignment horizontal="center"/>
    </xf>
    <xf numFmtId="43" fontId="0" fillId="36" borderId="22" xfId="0" applyNumberFormat="1" applyFont="1" applyFill="1" applyBorder="1" applyAlignment="1">
      <alignment/>
    </xf>
    <xf numFmtId="0" fontId="0" fillId="37" borderId="19" xfId="0" applyFill="1" applyBorder="1" applyAlignment="1">
      <alignment horizontal="center"/>
    </xf>
    <xf numFmtId="43" fontId="0" fillId="37" borderId="20" xfId="0" applyNumberFormat="1" applyFont="1" applyFill="1" applyBorder="1" applyAlignment="1">
      <alignment/>
    </xf>
    <xf numFmtId="43" fontId="0" fillId="37" borderId="18" xfId="0" applyNumberFormat="1" applyFont="1" applyFill="1" applyBorder="1" applyAlignment="1">
      <alignment/>
    </xf>
    <xf numFmtId="0" fontId="0" fillId="37" borderId="21" xfId="0" applyFill="1" applyBorder="1" applyAlignment="1">
      <alignment horizontal="center"/>
    </xf>
    <xf numFmtId="43" fontId="0" fillId="37" borderId="22" xfId="0" applyNumberFormat="1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43" fontId="0" fillId="33" borderId="19" xfId="0" applyNumberFormat="1" applyFill="1" applyBorder="1" applyAlignment="1">
      <alignment/>
    </xf>
    <xf numFmtId="43" fontId="0" fillId="33" borderId="21" xfId="0" applyNumberFormat="1" applyFill="1" applyBorder="1" applyAlignment="1">
      <alignment/>
    </xf>
    <xf numFmtId="43" fontId="0" fillId="34" borderId="19" xfId="0" applyNumberFormat="1" applyFill="1" applyBorder="1" applyAlignment="1">
      <alignment/>
    </xf>
    <xf numFmtId="43" fontId="0" fillId="34" borderId="21" xfId="0" applyNumberFormat="1" applyFill="1" applyBorder="1" applyAlignment="1">
      <alignment/>
    </xf>
    <xf numFmtId="43" fontId="0" fillId="35" borderId="19" xfId="0" applyNumberFormat="1" applyFont="1" applyFill="1" applyBorder="1" applyAlignment="1">
      <alignment/>
    </xf>
    <xf numFmtId="43" fontId="0" fillId="35" borderId="21" xfId="0" applyNumberFormat="1" applyFont="1" applyFill="1" applyBorder="1" applyAlignment="1">
      <alignment/>
    </xf>
    <xf numFmtId="43" fontId="0" fillId="36" borderId="19" xfId="0" applyNumberFormat="1" applyFont="1" applyFill="1" applyBorder="1" applyAlignment="1">
      <alignment/>
    </xf>
    <xf numFmtId="43" fontId="0" fillId="36" borderId="21" xfId="0" applyNumberFormat="1" applyFont="1" applyFill="1" applyBorder="1" applyAlignment="1">
      <alignment/>
    </xf>
    <xf numFmtId="43" fontId="0" fillId="37" borderId="19" xfId="0" applyNumberFormat="1" applyFont="1" applyFill="1" applyBorder="1" applyAlignment="1">
      <alignment/>
    </xf>
    <xf numFmtId="43" fontId="0" fillId="37" borderId="21" xfId="0" applyNumberFormat="1" applyFont="1" applyFill="1" applyBorder="1" applyAlignment="1">
      <alignment/>
    </xf>
    <xf numFmtId="43" fontId="0" fillId="34" borderId="17" xfId="0" applyNumberFormat="1" applyFill="1" applyBorder="1" applyAlignment="1">
      <alignment/>
    </xf>
    <xf numFmtId="43" fontId="0" fillId="35" borderId="15" xfId="0" applyNumberFormat="1" applyFont="1" applyFill="1" applyBorder="1" applyAlignment="1">
      <alignment/>
    </xf>
    <xf numFmtId="43" fontId="0" fillId="35" borderId="17" xfId="0" applyNumberFormat="1" applyFont="1" applyFill="1" applyBorder="1" applyAlignment="1">
      <alignment/>
    </xf>
    <xf numFmtId="43" fontId="0" fillId="36" borderId="15" xfId="0" applyNumberFormat="1" applyFont="1" applyFill="1" applyBorder="1" applyAlignment="1">
      <alignment/>
    </xf>
    <xf numFmtId="43" fontId="0" fillId="36" borderId="17" xfId="0" applyNumberFormat="1" applyFont="1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17" xfId="0" applyNumberFormat="1" applyFill="1" applyBorder="1" applyAlignment="1">
      <alignment/>
    </xf>
    <xf numFmtId="43" fontId="0" fillId="34" borderId="15" xfId="0" applyNumberFormat="1" applyFill="1" applyBorder="1" applyAlignment="1">
      <alignment/>
    </xf>
    <xf numFmtId="43" fontId="0" fillId="34" borderId="15" xfId="0" applyNumberFormat="1" applyFont="1" applyFill="1" applyBorder="1" applyAlignment="1">
      <alignment/>
    </xf>
    <xf numFmtId="43" fontId="0" fillId="34" borderId="17" xfId="0" applyNumberFormat="1" applyFont="1" applyFill="1" applyBorder="1" applyAlignment="1">
      <alignment/>
    </xf>
    <xf numFmtId="43" fontId="3" fillId="35" borderId="21" xfId="0" applyNumberFormat="1" applyFont="1" applyFill="1" applyBorder="1" applyAlignment="1">
      <alignment/>
    </xf>
    <xf numFmtId="43" fontId="3" fillId="35" borderId="17" xfId="0" applyNumberFormat="1" applyFont="1" applyFill="1" applyBorder="1" applyAlignment="1">
      <alignment/>
    </xf>
    <xf numFmtId="43" fontId="0" fillId="34" borderId="15" xfId="43" applyFont="1" applyFill="1" applyBorder="1" applyAlignment="1">
      <alignment/>
    </xf>
    <xf numFmtId="43" fontId="0" fillId="34" borderId="17" xfId="43" applyFont="1" applyFill="1" applyBorder="1" applyAlignment="1">
      <alignment/>
    </xf>
    <xf numFmtId="43" fontId="0" fillId="33" borderId="23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4" borderId="23" xfId="0" applyNumberFormat="1" applyFill="1" applyBorder="1" applyAlignment="1">
      <alignment/>
    </xf>
    <xf numFmtId="43" fontId="0" fillId="34" borderId="10" xfId="0" applyNumberFormat="1" applyFill="1" applyBorder="1" applyAlignment="1">
      <alignment/>
    </xf>
    <xf numFmtId="43" fontId="0" fillId="35" borderId="23" xfId="0" applyNumberFormat="1" applyFont="1" applyFill="1" applyBorder="1" applyAlignment="1">
      <alignment/>
    </xf>
    <xf numFmtId="43" fontId="0" fillId="36" borderId="23" xfId="0" applyNumberFormat="1" applyFont="1" applyFill="1" applyBorder="1" applyAlignment="1">
      <alignment/>
    </xf>
    <xf numFmtId="43" fontId="0" fillId="37" borderId="23" xfId="0" applyNumberFormat="1" applyFont="1" applyFill="1" applyBorder="1" applyAlignment="1">
      <alignment/>
    </xf>
    <xf numFmtId="43" fontId="0" fillId="37" borderId="10" xfId="0" applyNumberFormat="1" applyFont="1" applyFill="1" applyBorder="1" applyAlignment="1">
      <alignment/>
    </xf>
    <xf numFmtId="43" fontId="0" fillId="34" borderId="11" xfId="0" applyNumberFormat="1" applyFill="1" applyBorder="1" applyAlignment="1">
      <alignment/>
    </xf>
    <xf numFmtId="43" fontId="0" fillId="35" borderId="24" xfId="0" applyNumberFormat="1" applyFont="1" applyFill="1" applyBorder="1" applyAlignment="1">
      <alignment/>
    </xf>
    <xf numFmtId="43" fontId="0" fillId="36" borderId="24" xfId="0" applyNumberFormat="1" applyFont="1" applyFill="1" applyBorder="1" applyAlignment="1">
      <alignment/>
    </xf>
    <xf numFmtId="43" fontId="0" fillId="33" borderId="24" xfId="0" applyNumberFormat="1" applyFill="1" applyBorder="1" applyAlignment="1">
      <alignment/>
    </xf>
    <xf numFmtId="43" fontId="0" fillId="33" borderId="11" xfId="0" applyNumberFormat="1" applyFill="1" applyBorder="1" applyAlignment="1">
      <alignment/>
    </xf>
    <xf numFmtId="43" fontId="0" fillId="34" borderId="24" xfId="0" applyNumberFormat="1" applyFill="1" applyBorder="1" applyAlignment="1">
      <alignment/>
    </xf>
    <xf numFmtId="43" fontId="0" fillId="34" borderId="24" xfId="0" applyNumberFormat="1" applyFont="1" applyFill="1" applyBorder="1" applyAlignment="1">
      <alignment/>
    </xf>
    <xf numFmtId="43" fontId="0" fillId="34" borderId="11" xfId="0" applyNumberFormat="1" applyFont="1" applyFill="1" applyBorder="1" applyAlignment="1">
      <alignment/>
    </xf>
    <xf numFmtId="0" fontId="0" fillId="37" borderId="19" xfId="0" applyFont="1" applyFill="1" applyBorder="1" applyAlignment="1">
      <alignment horizontal="center"/>
    </xf>
    <xf numFmtId="43" fontId="0" fillId="37" borderId="0" xfId="0" applyNumberFormat="1" applyFont="1" applyFill="1" applyAlignment="1">
      <alignment/>
    </xf>
    <xf numFmtId="0" fontId="0" fillId="37" borderId="21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43" fontId="0" fillId="37" borderId="15" xfId="0" applyNumberFormat="1" applyFont="1" applyFill="1" applyBorder="1" applyAlignment="1">
      <alignment/>
    </xf>
    <xf numFmtId="43" fontId="0" fillId="37" borderId="24" xfId="0" applyNumberFormat="1" applyFont="1" applyFill="1" applyBorder="1" applyAlignment="1">
      <alignment/>
    </xf>
    <xf numFmtId="43" fontId="0" fillId="37" borderId="16" xfId="0" applyNumberFormat="1" applyFont="1" applyFill="1" applyBorder="1" applyAlignment="1">
      <alignment/>
    </xf>
    <xf numFmtId="0" fontId="0" fillId="37" borderId="17" xfId="0" applyFont="1" applyFill="1" applyBorder="1" applyAlignment="1">
      <alignment horizontal="center"/>
    </xf>
    <xf numFmtId="43" fontId="0" fillId="37" borderId="17" xfId="0" applyNumberFormat="1" applyFont="1" applyFill="1" applyBorder="1" applyAlignment="1">
      <alignment/>
    </xf>
    <xf numFmtId="43" fontId="0" fillId="37" borderId="11" xfId="0" applyNumberFormat="1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5" xfId="0" applyFont="1" applyFill="1" applyBorder="1" applyAlignment="1">
      <alignment horizontal="center"/>
    </xf>
    <xf numFmtId="43" fontId="0" fillId="37" borderId="25" xfId="0" applyNumberFormat="1" applyFont="1" applyFill="1" applyBorder="1" applyAlignment="1">
      <alignment/>
    </xf>
    <xf numFmtId="43" fontId="0" fillId="37" borderId="26" xfId="0" applyNumberFormat="1" applyFont="1" applyFill="1" applyBorder="1" applyAlignment="1">
      <alignment/>
    </xf>
    <xf numFmtId="43" fontId="0" fillId="37" borderId="27" xfId="0" applyNumberFormat="1" applyFont="1" applyFill="1" applyBorder="1" applyAlignment="1">
      <alignment/>
    </xf>
    <xf numFmtId="39" fontId="0" fillId="37" borderId="2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28" xfId="0" applyNumberFormat="1" applyBorder="1" applyAlignment="1">
      <alignment/>
    </xf>
    <xf numFmtId="9" fontId="0" fillId="33" borderId="19" xfId="60" applyFont="1" applyFill="1" applyBorder="1" applyAlignment="1">
      <alignment/>
    </xf>
    <xf numFmtId="9" fontId="0" fillId="33" borderId="23" xfId="60" applyFont="1" applyFill="1" applyBorder="1" applyAlignment="1">
      <alignment/>
    </xf>
    <xf numFmtId="9" fontId="0" fillId="33" borderId="20" xfId="60" applyFont="1" applyFill="1" applyBorder="1" applyAlignment="1">
      <alignment/>
    </xf>
    <xf numFmtId="9" fontId="0" fillId="33" borderId="0" xfId="60" applyFont="1" applyFill="1" applyAlignment="1">
      <alignment/>
    </xf>
    <xf numFmtId="9" fontId="0" fillId="33" borderId="21" xfId="60" applyFont="1" applyFill="1" applyBorder="1" applyAlignment="1">
      <alignment/>
    </xf>
    <xf numFmtId="9" fontId="0" fillId="33" borderId="10" xfId="60" applyFont="1" applyFill="1" applyBorder="1" applyAlignment="1">
      <alignment/>
    </xf>
    <xf numFmtId="9" fontId="0" fillId="33" borderId="22" xfId="60" applyFont="1" applyFill="1" applyBorder="1" applyAlignment="1">
      <alignment/>
    </xf>
    <xf numFmtId="9" fontId="0" fillId="34" borderId="19" xfId="60" applyFont="1" applyFill="1" applyBorder="1" applyAlignment="1">
      <alignment/>
    </xf>
    <xf numFmtId="9" fontId="0" fillId="34" borderId="23" xfId="60" applyFont="1" applyFill="1" applyBorder="1" applyAlignment="1">
      <alignment/>
    </xf>
    <xf numFmtId="9" fontId="0" fillId="34" borderId="20" xfId="60" applyFont="1" applyFill="1" applyBorder="1" applyAlignment="1">
      <alignment/>
    </xf>
    <xf numFmtId="9" fontId="0" fillId="34" borderId="0" xfId="60" applyFont="1" applyFill="1" applyAlignment="1">
      <alignment/>
    </xf>
    <xf numFmtId="9" fontId="0" fillId="34" borderId="21" xfId="60" applyFont="1" applyFill="1" applyBorder="1" applyAlignment="1">
      <alignment/>
    </xf>
    <xf numFmtId="9" fontId="0" fillId="34" borderId="10" xfId="60" applyFont="1" applyFill="1" applyBorder="1" applyAlignment="1">
      <alignment/>
    </xf>
    <xf numFmtId="9" fontId="0" fillId="34" borderId="22" xfId="60" applyFont="1" applyFill="1" applyBorder="1" applyAlignment="1">
      <alignment/>
    </xf>
    <xf numFmtId="9" fontId="0" fillId="35" borderId="19" xfId="60" applyFont="1" applyFill="1" applyBorder="1" applyAlignment="1">
      <alignment/>
    </xf>
    <xf numFmtId="9" fontId="0" fillId="35" borderId="23" xfId="60" applyFont="1" applyFill="1" applyBorder="1" applyAlignment="1">
      <alignment/>
    </xf>
    <xf numFmtId="9" fontId="0" fillId="35" borderId="20" xfId="60" applyFont="1" applyFill="1" applyBorder="1" applyAlignment="1">
      <alignment/>
    </xf>
    <xf numFmtId="9" fontId="0" fillId="35" borderId="0" xfId="60" applyFont="1" applyFill="1" applyAlignment="1">
      <alignment/>
    </xf>
    <xf numFmtId="9" fontId="0" fillId="35" borderId="21" xfId="60" applyFont="1" applyFill="1" applyBorder="1" applyAlignment="1">
      <alignment/>
    </xf>
    <xf numFmtId="9" fontId="0" fillId="35" borderId="10" xfId="60" applyFont="1" applyFill="1" applyBorder="1" applyAlignment="1">
      <alignment/>
    </xf>
    <xf numFmtId="9" fontId="0" fillId="35" borderId="22" xfId="60" applyFont="1" applyFill="1" applyBorder="1" applyAlignment="1">
      <alignment/>
    </xf>
    <xf numFmtId="9" fontId="0" fillId="36" borderId="19" xfId="60" applyFont="1" applyFill="1" applyBorder="1" applyAlignment="1">
      <alignment/>
    </xf>
    <xf numFmtId="9" fontId="0" fillId="36" borderId="23" xfId="60" applyFont="1" applyFill="1" applyBorder="1" applyAlignment="1">
      <alignment/>
    </xf>
    <xf numFmtId="9" fontId="0" fillId="36" borderId="20" xfId="60" applyFont="1" applyFill="1" applyBorder="1" applyAlignment="1">
      <alignment/>
    </xf>
    <xf numFmtId="9" fontId="0" fillId="36" borderId="0" xfId="60" applyFont="1" applyFill="1" applyAlignment="1">
      <alignment/>
    </xf>
    <xf numFmtId="9" fontId="0" fillId="36" borderId="21" xfId="60" applyFont="1" applyFill="1" applyBorder="1" applyAlignment="1">
      <alignment/>
    </xf>
    <xf numFmtId="9" fontId="0" fillId="36" borderId="10" xfId="60" applyFont="1" applyFill="1" applyBorder="1" applyAlignment="1">
      <alignment/>
    </xf>
    <xf numFmtId="9" fontId="0" fillId="36" borderId="22" xfId="60" applyFont="1" applyFill="1" applyBorder="1" applyAlignment="1">
      <alignment/>
    </xf>
    <xf numFmtId="9" fontId="0" fillId="37" borderId="19" xfId="60" applyFont="1" applyFill="1" applyBorder="1" applyAlignment="1">
      <alignment/>
    </xf>
    <xf numFmtId="9" fontId="0" fillId="37" borderId="23" xfId="60" applyFont="1" applyFill="1" applyBorder="1" applyAlignment="1">
      <alignment/>
    </xf>
    <xf numFmtId="9" fontId="0" fillId="37" borderId="20" xfId="60" applyFont="1" applyFill="1" applyBorder="1" applyAlignment="1">
      <alignment/>
    </xf>
    <xf numFmtId="9" fontId="0" fillId="37" borderId="0" xfId="60" applyFont="1" applyFill="1" applyAlignment="1">
      <alignment/>
    </xf>
    <xf numFmtId="9" fontId="0" fillId="37" borderId="21" xfId="60" applyFont="1" applyFill="1" applyBorder="1" applyAlignment="1">
      <alignment/>
    </xf>
    <xf numFmtId="9" fontId="0" fillId="37" borderId="10" xfId="60" applyFont="1" applyFill="1" applyBorder="1" applyAlignment="1">
      <alignment/>
    </xf>
    <xf numFmtId="9" fontId="0" fillId="37" borderId="22" xfId="60" applyFont="1" applyFill="1" applyBorder="1" applyAlignment="1">
      <alignment/>
    </xf>
    <xf numFmtId="9" fontId="3" fillId="35" borderId="21" xfId="60" applyFont="1" applyFill="1" applyBorder="1" applyAlignment="1">
      <alignment/>
    </xf>
    <xf numFmtId="9" fontId="0" fillId="36" borderId="0" xfId="60" applyFont="1" applyFill="1" applyAlignment="1">
      <alignment/>
    </xf>
    <xf numFmtId="9" fontId="0" fillId="37" borderId="0" xfId="60" applyFont="1" applyFill="1" applyAlignment="1">
      <alignment/>
    </xf>
    <xf numFmtId="9" fontId="0" fillId="34" borderId="17" xfId="60" applyFont="1" applyFill="1" applyBorder="1" applyAlignment="1">
      <alignment/>
    </xf>
    <xf numFmtId="9" fontId="0" fillId="34" borderId="11" xfId="60" applyFont="1" applyFill="1" applyBorder="1" applyAlignment="1">
      <alignment/>
    </xf>
    <xf numFmtId="9" fontId="0" fillId="34" borderId="18" xfId="60" applyFont="1" applyFill="1" applyBorder="1" applyAlignment="1">
      <alignment/>
    </xf>
    <xf numFmtId="9" fontId="0" fillId="35" borderId="15" xfId="60" applyFont="1" applyFill="1" applyBorder="1" applyAlignment="1">
      <alignment/>
    </xf>
    <xf numFmtId="9" fontId="0" fillId="35" borderId="24" xfId="60" applyFont="1" applyFill="1" applyBorder="1" applyAlignment="1">
      <alignment/>
    </xf>
    <xf numFmtId="9" fontId="0" fillId="35" borderId="16" xfId="60" applyFont="1" applyFill="1" applyBorder="1" applyAlignment="1">
      <alignment/>
    </xf>
    <xf numFmtId="9" fontId="0" fillId="35" borderId="17" xfId="60" applyFont="1" applyFill="1" applyBorder="1" applyAlignment="1">
      <alignment/>
    </xf>
    <xf numFmtId="9" fontId="0" fillId="35" borderId="11" xfId="60" applyFont="1" applyFill="1" applyBorder="1" applyAlignment="1">
      <alignment/>
    </xf>
    <xf numFmtId="9" fontId="0" fillId="35" borderId="18" xfId="60" applyFont="1" applyFill="1" applyBorder="1" applyAlignment="1">
      <alignment/>
    </xf>
    <xf numFmtId="9" fontId="0" fillId="36" borderId="15" xfId="60" applyFont="1" applyFill="1" applyBorder="1" applyAlignment="1">
      <alignment/>
    </xf>
    <xf numFmtId="9" fontId="0" fillId="36" borderId="24" xfId="60" applyFont="1" applyFill="1" applyBorder="1" applyAlignment="1">
      <alignment/>
    </xf>
    <xf numFmtId="9" fontId="0" fillId="36" borderId="16" xfId="60" applyFont="1" applyFill="1" applyBorder="1" applyAlignment="1">
      <alignment/>
    </xf>
    <xf numFmtId="9" fontId="0" fillId="36" borderId="17" xfId="60" applyFont="1" applyFill="1" applyBorder="1" applyAlignment="1">
      <alignment/>
    </xf>
    <xf numFmtId="9" fontId="0" fillId="36" borderId="11" xfId="60" applyFont="1" applyFill="1" applyBorder="1" applyAlignment="1">
      <alignment/>
    </xf>
    <xf numFmtId="9" fontId="0" fillId="36" borderId="18" xfId="60" applyFont="1" applyFill="1" applyBorder="1" applyAlignment="1">
      <alignment/>
    </xf>
    <xf numFmtId="9" fontId="0" fillId="37" borderId="15" xfId="60" applyFont="1" applyFill="1" applyBorder="1" applyAlignment="1">
      <alignment/>
    </xf>
    <xf numFmtId="9" fontId="0" fillId="37" borderId="24" xfId="60" applyFont="1" applyFill="1" applyBorder="1" applyAlignment="1">
      <alignment/>
    </xf>
    <xf numFmtId="9" fontId="0" fillId="37" borderId="16" xfId="60" applyFont="1" applyFill="1" applyBorder="1" applyAlignment="1">
      <alignment/>
    </xf>
    <xf numFmtId="9" fontId="0" fillId="37" borderId="17" xfId="60" applyFont="1" applyFill="1" applyBorder="1" applyAlignment="1">
      <alignment/>
    </xf>
    <xf numFmtId="9" fontId="0" fillId="37" borderId="11" xfId="60" applyFont="1" applyFill="1" applyBorder="1" applyAlignment="1">
      <alignment/>
    </xf>
    <xf numFmtId="9" fontId="0" fillId="37" borderId="18" xfId="60" applyFont="1" applyFill="1" applyBorder="1" applyAlignment="1">
      <alignment/>
    </xf>
    <xf numFmtId="9" fontId="0" fillId="33" borderId="15" xfId="60" applyFont="1" applyFill="1" applyBorder="1" applyAlignment="1">
      <alignment/>
    </xf>
    <xf numFmtId="9" fontId="0" fillId="33" borderId="24" xfId="60" applyFont="1" applyFill="1" applyBorder="1" applyAlignment="1">
      <alignment/>
    </xf>
    <xf numFmtId="9" fontId="0" fillId="33" borderId="16" xfId="60" applyFont="1" applyFill="1" applyBorder="1" applyAlignment="1">
      <alignment/>
    </xf>
    <xf numFmtId="9" fontId="0" fillId="33" borderId="17" xfId="60" applyFont="1" applyFill="1" applyBorder="1" applyAlignment="1">
      <alignment/>
    </xf>
    <xf numFmtId="9" fontId="0" fillId="33" borderId="11" xfId="60" applyFont="1" applyFill="1" applyBorder="1" applyAlignment="1">
      <alignment/>
    </xf>
    <xf numFmtId="9" fontId="0" fillId="33" borderId="18" xfId="60" applyFont="1" applyFill="1" applyBorder="1" applyAlignment="1">
      <alignment/>
    </xf>
    <xf numFmtId="9" fontId="0" fillId="34" borderId="15" xfId="60" applyFont="1" applyFill="1" applyBorder="1" applyAlignment="1">
      <alignment/>
    </xf>
    <xf numFmtId="9" fontId="0" fillId="34" borderId="24" xfId="60" applyFont="1" applyFill="1" applyBorder="1" applyAlignment="1">
      <alignment/>
    </xf>
    <xf numFmtId="9" fontId="0" fillId="34" borderId="16" xfId="60" applyFont="1" applyFill="1" applyBorder="1" applyAlignment="1">
      <alignment/>
    </xf>
    <xf numFmtId="9" fontId="3" fillId="35" borderId="17" xfId="60" applyFont="1" applyFill="1" applyBorder="1" applyAlignment="1">
      <alignment/>
    </xf>
    <xf numFmtId="9" fontId="0" fillId="34" borderId="15" xfId="60" applyFont="1" applyFill="1" applyBorder="1" applyAlignment="1">
      <alignment/>
    </xf>
    <xf numFmtId="9" fontId="0" fillId="34" borderId="24" xfId="60" applyFont="1" applyFill="1" applyBorder="1" applyAlignment="1">
      <alignment/>
    </xf>
    <xf numFmtId="9" fontId="0" fillId="34" borderId="16" xfId="60" applyFont="1" applyFill="1" applyBorder="1" applyAlignment="1">
      <alignment/>
    </xf>
    <xf numFmtId="9" fontId="0" fillId="34" borderId="0" xfId="60" applyFont="1" applyFill="1" applyAlignment="1">
      <alignment/>
    </xf>
    <xf numFmtId="9" fontId="0" fillId="34" borderId="17" xfId="60" applyFont="1" applyFill="1" applyBorder="1" applyAlignment="1">
      <alignment/>
    </xf>
    <xf numFmtId="9" fontId="0" fillId="34" borderId="11" xfId="60" applyFont="1" applyFill="1" applyBorder="1" applyAlignment="1">
      <alignment/>
    </xf>
    <xf numFmtId="9" fontId="0" fillId="34" borderId="18" xfId="60" applyFont="1" applyFill="1" applyBorder="1" applyAlignment="1">
      <alignment/>
    </xf>
    <xf numFmtId="9" fontId="0" fillId="35" borderId="0" xfId="60" applyFont="1" applyFill="1" applyAlignment="1">
      <alignment/>
    </xf>
    <xf numFmtId="9" fontId="0" fillId="0" borderId="0" xfId="60" applyFont="1" applyAlignment="1">
      <alignment/>
    </xf>
    <xf numFmtId="0" fontId="2" fillId="38" borderId="29" xfId="0" applyFont="1" applyFill="1" applyBorder="1" applyAlignment="1">
      <alignment/>
    </xf>
    <xf numFmtId="9" fontId="2" fillId="38" borderId="30" xfId="60" applyFont="1" applyFill="1" applyBorder="1" applyAlignment="1">
      <alignment/>
    </xf>
    <xf numFmtId="9" fontId="2" fillId="38" borderId="31" xfId="60" applyFont="1" applyFill="1" applyBorder="1" applyAlignment="1">
      <alignment/>
    </xf>
    <xf numFmtId="43" fontId="0" fillId="34" borderId="15" xfId="43" applyFill="1" applyBorder="1" applyAlignment="1">
      <alignment/>
    </xf>
    <xf numFmtId="43" fontId="0" fillId="34" borderId="17" xfId="43" applyFill="1" applyBorder="1" applyAlignment="1">
      <alignment/>
    </xf>
    <xf numFmtId="0" fontId="0" fillId="37" borderId="25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43" fontId="0" fillId="39" borderId="19" xfId="0" applyNumberFormat="1" applyFont="1" applyFill="1" applyBorder="1" applyAlignment="1">
      <alignment/>
    </xf>
    <xf numFmtId="43" fontId="0" fillId="39" borderId="23" xfId="0" applyNumberFormat="1" applyFont="1" applyFill="1" applyBorder="1" applyAlignment="1">
      <alignment/>
    </xf>
    <xf numFmtId="43" fontId="0" fillId="39" borderId="20" xfId="0" applyNumberFormat="1" applyFont="1" applyFill="1" applyBorder="1" applyAlignment="1">
      <alignment/>
    </xf>
    <xf numFmtId="43" fontId="0" fillId="39" borderId="0" xfId="0" applyNumberFormat="1" applyFill="1" applyAlignment="1">
      <alignment/>
    </xf>
    <xf numFmtId="0" fontId="0" fillId="39" borderId="25" xfId="0" applyFill="1" applyBorder="1" applyAlignment="1">
      <alignment horizontal="center"/>
    </xf>
    <xf numFmtId="43" fontId="0" fillId="39" borderId="25" xfId="0" applyNumberFormat="1" applyFont="1" applyFill="1" applyBorder="1" applyAlignment="1">
      <alignment/>
    </xf>
    <xf numFmtId="43" fontId="0" fillId="39" borderId="26" xfId="0" applyNumberFormat="1" applyFont="1" applyFill="1" applyBorder="1" applyAlignment="1">
      <alignment/>
    </xf>
    <xf numFmtId="43" fontId="0" fillId="39" borderId="27" xfId="0" applyNumberFormat="1" applyFont="1" applyFill="1" applyBorder="1" applyAlignment="1">
      <alignment/>
    </xf>
    <xf numFmtId="0" fontId="0" fillId="39" borderId="21" xfId="0" applyFill="1" applyBorder="1" applyAlignment="1">
      <alignment horizontal="center"/>
    </xf>
    <xf numFmtId="43" fontId="0" fillId="39" borderId="21" xfId="0" applyNumberFormat="1" applyFont="1" applyFill="1" applyBorder="1" applyAlignment="1">
      <alignment/>
    </xf>
    <xf numFmtId="39" fontId="0" fillId="39" borderId="21" xfId="0" applyNumberFormat="1" applyFont="1" applyFill="1" applyBorder="1" applyAlignment="1">
      <alignment horizontal="center"/>
    </xf>
    <xf numFmtId="43" fontId="0" fillId="39" borderId="10" xfId="0" applyNumberFormat="1" applyFont="1" applyFill="1" applyBorder="1" applyAlignment="1">
      <alignment/>
    </xf>
    <xf numFmtId="43" fontId="0" fillId="39" borderId="22" xfId="0" applyNumberFormat="1" applyFont="1" applyFill="1" applyBorder="1" applyAlignment="1">
      <alignment/>
    </xf>
    <xf numFmtId="9" fontId="0" fillId="39" borderId="19" xfId="60" applyFont="1" applyFill="1" applyBorder="1" applyAlignment="1">
      <alignment/>
    </xf>
    <xf numFmtId="9" fontId="0" fillId="39" borderId="23" xfId="60" applyFont="1" applyFill="1" applyBorder="1" applyAlignment="1">
      <alignment/>
    </xf>
    <xf numFmtId="9" fontId="0" fillId="39" borderId="20" xfId="60" applyFont="1" applyFill="1" applyBorder="1" applyAlignment="1">
      <alignment/>
    </xf>
    <xf numFmtId="9" fontId="0" fillId="39" borderId="0" xfId="60" applyFont="1" applyFill="1" applyAlignment="1">
      <alignment/>
    </xf>
    <xf numFmtId="9" fontId="0" fillId="37" borderId="21" xfId="60" applyFont="1" applyFill="1" applyBorder="1" applyAlignment="1">
      <alignment horizontal="right"/>
    </xf>
    <xf numFmtId="9" fontId="0" fillId="33" borderId="32" xfId="60" applyFont="1" applyFill="1" applyBorder="1" applyAlignment="1">
      <alignment/>
    </xf>
    <xf numFmtId="0" fontId="0" fillId="33" borderId="33" xfId="0" applyFill="1" applyBorder="1" applyAlignment="1">
      <alignment/>
    </xf>
    <xf numFmtId="9" fontId="0" fillId="33" borderId="33" xfId="60" applyFont="1" applyFill="1" applyBorder="1" applyAlignment="1">
      <alignment/>
    </xf>
    <xf numFmtId="9" fontId="0" fillId="33" borderId="34" xfId="60" applyFont="1" applyFill="1" applyBorder="1" applyAlignment="1">
      <alignment/>
    </xf>
    <xf numFmtId="9" fontId="0" fillId="39" borderId="25" xfId="60" applyFont="1" applyFill="1" applyBorder="1" applyAlignment="1">
      <alignment/>
    </xf>
    <xf numFmtId="9" fontId="0" fillId="39" borderId="25" xfId="60" applyFont="1" applyFill="1" applyBorder="1" applyAlignment="1">
      <alignment horizontal="right"/>
    </xf>
    <xf numFmtId="9" fontId="0" fillId="39" borderId="26" xfId="60" applyFont="1" applyFill="1" applyBorder="1" applyAlignment="1">
      <alignment/>
    </xf>
    <xf numFmtId="9" fontId="0" fillId="39" borderId="27" xfId="60" applyFont="1" applyFill="1" applyBorder="1" applyAlignment="1">
      <alignment/>
    </xf>
    <xf numFmtId="17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/>
    </xf>
    <xf numFmtId="0" fontId="2" fillId="0" borderId="0" xfId="0" applyFont="1" applyAlignment="1">
      <alignment/>
    </xf>
    <xf numFmtId="43" fontId="2" fillId="40" borderId="35" xfId="0" applyNumberFormat="1" applyFont="1" applyFill="1" applyBorder="1" applyAlignment="1">
      <alignment/>
    </xf>
    <xf numFmtId="39" fontId="0" fillId="39" borderId="2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0" fillId="0" borderId="13" xfId="0" applyNumberFormat="1" applyFont="1" applyBorder="1" applyAlignment="1">
      <alignment/>
    </xf>
    <xf numFmtId="9" fontId="0" fillId="33" borderId="36" xfId="60" applyFont="1" applyFill="1" applyBorder="1" applyAlignment="1">
      <alignment/>
    </xf>
    <xf numFmtId="9" fontId="0" fillId="33" borderId="37" xfId="60" applyFont="1" applyFill="1" applyBorder="1" applyAlignment="1">
      <alignment/>
    </xf>
    <xf numFmtId="9" fontId="0" fillId="34" borderId="36" xfId="60" applyFont="1" applyFill="1" applyBorder="1" applyAlignment="1">
      <alignment/>
    </xf>
    <xf numFmtId="9" fontId="0" fillId="34" borderId="37" xfId="60" applyFont="1" applyFill="1" applyBorder="1" applyAlignment="1">
      <alignment/>
    </xf>
    <xf numFmtId="9" fontId="0" fillId="35" borderId="36" xfId="60" applyFont="1" applyFill="1" applyBorder="1" applyAlignment="1">
      <alignment/>
    </xf>
    <xf numFmtId="9" fontId="0" fillId="35" borderId="37" xfId="60" applyFont="1" applyFill="1" applyBorder="1" applyAlignment="1">
      <alignment/>
    </xf>
    <xf numFmtId="9" fontId="0" fillId="36" borderId="36" xfId="60" applyFont="1" applyFill="1" applyBorder="1" applyAlignment="1">
      <alignment/>
    </xf>
    <xf numFmtId="9" fontId="0" fillId="36" borderId="37" xfId="60" applyFont="1" applyFill="1" applyBorder="1" applyAlignment="1">
      <alignment/>
    </xf>
    <xf numFmtId="9" fontId="0" fillId="37" borderId="36" xfId="60" applyFont="1" applyFill="1" applyBorder="1" applyAlignment="1">
      <alignment/>
    </xf>
    <xf numFmtId="9" fontId="0" fillId="37" borderId="37" xfId="60" applyFont="1" applyFill="1" applyBorder="1" applyAlignment="1">
      <alignment/>
    </xf>
    <xf numFmtId="9" fontId="0" fillId="39" borderId="36" xfId="60" applyFont="1" applyFill="1" applyBorder="1" applyAlignment="1">
      <alignment/>
    </xf>
    <xf numFmtId="9" fontId="0" fillId="39" borderId="38" xfId="60" applyFont="1" applyFill="1" applyBorder="1" applyAlignment="1">
      <alignment/>
    </xf>
    <xf numFmtId="9" fontId="0" fillId="33" borderId="39" xfId="60" applyFont="1" applyFill="1" applyBorder="1" applyAlignment="1">
      <alignment/>
    </xf>
    <xf numFmtId="9" fontId="0" fillId="34" borderId="40" xfId="60" applyFont="1" applyFill="1" applyBorder="1" applyAlignment="1">
      <alignment/>
    </xf>
    <xf numFmtId="9" fontId="0" fillId="35" borderId="41" xfId="60" applyFont="1" applyFill="1" applyBorder="1" applyAlignment="1">
      <alignment/>
    </xf>
    <xf numFmtId="9" fontId="0" fillId="35" borderId="40" xfId="60" applyFont="1" applyFill="1" applyBorder="1" applyAlignment="1">
      <alignment/>
    </xf>
    <xf numFmtId="9" fontId="0" fillId="36" borderId="41" xfId="60" applyFont="1" applyFill="1" applyBorder="1" applyAlignment="1">
      <alignment/>
    </xf>
    <xf numFmtId="9" fontId="0" fillId="36" borderId="40" xfId="60" applyFont="1" applyFill="1" applyBorder="1" applyAlignment="1">
      <alignment/>
    </xf>
    <xf numFmtId="9" fontId="0" fillId="37" borderId="41" xfId="60" applyFont="1" applyFill="1" applyBorder="1" applyAlignment="1">
      <alignment/>
    </xf>
    <xf numFmtId="9" fontId="0" fillId="37" borderId="40" xfId="60" applyFont="1" applyFill="1" applyBorder="1" applyAlignment="1">
      <alignment/>
    </xf>
    <xf numFmtId="9" fontId="0" fillId="33" borderId="41" xfId="60" applyFont="1" applyFill="1" applyBorder="1" applyAlignment="1">
      <alignment/>
    </xf>
    <xf numFmtId="9" fontId="0" fillId="33" borderId="40" xfId="60" applyFont="1" applyFill="1" applyBorder="1" applyAlignment="1">
      <alignment/>
    </xf>
    <xf numFmtId="9" fontId="0" fillId="34" borderId="41" xfId="60" applyFont="1" applyFill="1" applyBorder="1" applyAlignment="1">
      <alignment/>
    </xf>
    <xf numFmtId="9" fontId="0" fillId="34" borderId="41" xfId="60" applyFont="1" applyFill="1" applyBorder="1" applyAlignment="1">
      <alignment/>
    </xf>
    <xf numFmtId="9" fontId="0" fillId="34" borderId="40" xfId="60" applyFont="1" applyFill="1" applyBorder="1" applyAlignment="1">
      <alignment/>
    </xf>
    <xf numFmtId="43" fontId="0" fillId="41" borderId="0" xfId="0" applyNumberFormat="1" applyFill="1" applyAlignment="1">
      <alignment/>
    </xf>
    <xf numFmtId="0" fontId="0" fillId="41" borderId="19" xfId="0" applyFill="1" applyBorder="1" applyAlignment="1">
      <alignment horizontal="center"/>
    </xf>
    <xf numFmtId="43" fontId="0" fillId="41" borderId="19" xfId="0" applyNumberFormat="1" applyFont="1" applyFill="1" applyBorder="1" applyAlignment="1">
      <alignment/>
    </xf>
    <xf numFmtId="43" fontId="0" fillId="41" borderId="23" xfId="0" applyNumberFormat="1" applyFont="1" applyFill="1" applyBorder="1" applyAlignment="1">
      <alignment/>
    </xf>
    <xf numFmtId="43" fontId="0" fillId="41" borderId="20" xfId="0" applyNumberFormat="1" applyFont="1" applyFill="1" applyBorder="1" applyAlignment="1">
      <alignment/>
    </xf>
    <xf numFmtId="0" fontId="0" fillId="41" borderId="25" xfId="0" applyFill="1" applyBorder="1" applyAlignment="1">
      <alignment horizontal="center"/>
    </xf>
    <xf numFmtId="43" fontId="0" fillId="41" borderId="25" xfId="0" applyNumberFormat="1" applyFont="1" applyFill="1" applyBorder="1" applyAlignment="1">
      <alignment/>
    </xf>
    <xf numFmtId="43" fontId="0" fillId="41" borderId="26" xfId="0" applyNumberFormat="1" applyFont="1" applyFill="1" applyBorder="1" applyAlignment="1">
      <alignment/>
    </xf>
    <xf numFmtId="43" fontId="0" fillId="41" borderId="27" xfId="0" applyNumberFormat="1" applyFont="1" applyFill="1" applyBorder="1" applyAlignment="1">
      <alignment/>
    </xf>
    <xf numFmtId="0" fontId="0" fillId="41" borderId="21" xfId="0" applyFill="1" applyBorder="1" applyAlignment="1">
      <alignment horizontal="center"/>
    </xf>
    <xf numFmtId="43" fontId="0" fillId="41" borderId="21" xfId="0" applyNumberFormat="1" applyFont="1" applyFill="1" applyBorder="1" applyAlignment="1">
      <alignment/>
    </xf>
    <xf numFmtId="39" fontId="0" fillId="41" borderId="21" xfId="0" applyNumberFormat="1" applyFont="1" applyFill="1" applyBorder="1" applyAlignment="1">
      <alignment horizontal="center"/>
    </xf>
    <xf numFmtId="43" fontId="0" fillId="41" borderId="10" xfId="0" applyNumberFormat="1" applyFont="1" applyFill="1" applyBorder="1" applyAlignment="1">
      <alignment/>
    </xf>
    <xf numFmtId="43" fontId="0" fillId="41" borderId="22" xfId="0" applyNumberFormat="1" applyFont="1" applyFill="1" applyBorder="1" applyAlignment="1">
      <alignment/>
    </xf>
    <xf numFmtId="39" fontId="0" fillId="41" borderId="25" xfId="0" applyNumberFormat="1" applyFont="1" applyFill="1" applyBorder="1" applyAlignment="1">
      <alignment horizontal="center"/>
    </xf>
    <xf numFmtId="43" fontId="0" fillId="0" borderId="28" xfId="0" applyNumberFormat="1" applyFont="1" applyBorder="1" applyAlignment="1">
      <alignment/>
    </xf>
    <xf numFmtId="0" fontId="0" fillId="40" borderId="19" xfId="0" applyFill="1" applyBorder="1" applyAlignment="1">
      <alignment horizontal="center"/>
    </xf>
    <xf numFmtId="43" fontId="0" fillId="40" borderId="19" xfId="0" applyNumberFormat="1" applyFont="1" applyFill="1" applyBorder="1" applyAlignment="1">
      <alignment/>
    </xf>
    <xf numFmtId="43" fontId="0" fillId="40" borderId="23" xfId="0" applyNumberFormat="1" applyFont="1" applyFill="1" applyBorder="1" applyAlignment="1">
      <alignment/>
    </xf>
    <xf numFmtId="43" fontId="0" fillId="40" borderId="20" xfId="0" applyNumberFormat="1" applyFont="1" applyFill="1" applyBorder="1" applyAlignment="1">
      <alignment/>
    </xf>
    <xf numFmtId="43" fontId="0" fillId="40" borderId="0" xfId="0" applyNumberFormat="1" applyFill="1" applyAlignment="1">
      <alignment/>
    </xf>
    <xf numFmtId="0" fontId="0" fillId="40" borderId="25" xfId="0" applyFill="1" applyBorder="1" applyAlignment="1">
      <alignment horizontal="center"/>
    </xf>
    <xf numFmtId="43" fontId="0" fillId="40" borderId="25" xfId="0" applyNumberFormat="1" applyFont="1" applyFill="1" applyBorder="1" applyAlignment="1">
      <alignment/>
    </xf>
    <xf numFmtId="39" fontId="0" fillId="40" borderId="25" xfId="0" applyNumberFormat="1" applyFont="1" applyFill="1" applyBorder="1" applyAlignment="1">
      <alignment horizontal="center"/>
    </xf>
    <xf numFmtId="43" fontId="0" fillId="40" borderId="26" xfId="0" applyNumberFormat="1" applyFont="1" applyFill="1" applyBorder="1" applyAlignment="1">
      <alignment/>
    </xf>
    <xf numFmtId="43" fontId="0" fillId="40" borderId="27" xfId="0" applyNumberFormat="1" applyFont="1" applyFill="1" applyBorder="1" applyAlignment="1">
      <alignment/>
    </xf>
    <xf numFmtId="0" fontId="0" fillId="40" borderId="21" xfId="0" applyFill="1" applyBorder="1" applyAlignment="1">
      <alignment horizontal="center"/>
    </xf>
    <xf numFmtId="43" fontId="0" fillId="40" borderId="21" xfId="0" applyNumberFormat="1" applyFont="1" applyFill="1" applyBorder="1" applyAlignment="1">
      <alignment/>
    </xf>
    <xf numFmtId="39" fontId="0" fillId="40" borderId="21" xfId="0" applyNumberFormat="1" applyFont="1" applyFill="1" applyBorder="1" applyAlignment="1">
      <alignment horizontal="center"/>
    </xf>
    <xf numFmtId="43" fontId="0" fillId="40" borderId="10" xfId="0" applyNumberFormat="1" applyFont="1" applyFill="1" applyBorder="1" applyAlignment="1">
      <alignment/>
    </xf>
    <xf numFmtId="43" fontId="0" fillId="40" borderId="22" xfId="0" applyNumberFormat="1" applyFont="1" applyFill="1" applyBorder="1" applyAlignment="1">
      <alignment/>
    </xf>
    <xf numFmtId="43" fontId="0" fillId="42" borderId="0" xfId="0" applyNumberFormat="1" applyFill="1" applyAlignment="1">
      <alignment/>
    </xf>
    <xf numFmtId="0" fontId="0" fillId="42" borderId="19" xfId="0" applyFill="1" applyBorder="1" applyAlignment="1">
      <alignment horizontal="center"/>
    </xf>
    <xf numFmtId="43" fontId="0" fillId="42" borderId="19" xfId="0" applyNumberFormat="1" applyFont="1" applyFill="1" applyBorder="1" applyAlignment="1">
      <alignment/>
    </xf>
    <xf numFmtId="43" fontId="0" fillId="42" borderId="23" xfId="0" applyNumberFormat="1" applyFont="1" applyFill="1" applyBorder="1" applyAlignment="1">
      <alignment/>
    </xf>
    <xf numFmtId="43" fontId="0" fillId="42" borderId="20" xfId="0" applyNumberFormat="1" applyFont="1" applyFill="1" applyBorder="1" applyAlignment="1">
      <alignment/>
    </xf>
    <xf numFmtId="43" fontId="0" fillId="42" borderId="21" xfId="0" applyNumberFormat="1" applyFont="1" applyFill="1" applyBorder="1" applyAlignment="1">
      <alignment/>
    </xf>
    <xf numFmtId="39" fontId="0" fillId="42" borderId="21" xfId="0" applyNumberFormat="1" applyFont="1" applyFill="1" applyBorder="1" applyAlignment="1">
      <alignment horizontal="center"/>
    </xf>
    <xf numFmtId="43" fontId="0" fillId="42" borderId="10" xfId="0" applyNumberFormat="1" applyFont="1" applyFill="1" applyBorder="1" applyAlignment="1">
      <alignment/>
    </xf>
    <xf numFmtId="43" fontId="0" fillId="42" borderId="22" xfId="0" applyNumberFormat="1" applyFont="1" applyFill="1" applyBorder="1" applyAlignment="1">
      <alignment/>
    </xf>
    <xf numFmtId="0" fontId="0" fillId="42" borderId="25" xfId="0" applyFill="1" applyBorder="1" applyAlignment="1">
      <alignment horizontal="center"/>
    </xf>
    <xf numFmtId="43" fontId="0" fillId="42" borderId="25" xfId="0" applyNumberFormat="1" applyFont="1" applyFill="1" applyBorder="1" applyAlignment="1">
      <alignment/>
    </xf>
    <xf numFmtId="39" fontId="0" fillId="42" borderId="25" xfId="0" applyNumberFormat="1" applyFont="1" applyFill="1" applyBorder="1" applyAlignment="1">
      <alignment horizontal="center"/>
    </xf>
    <xf numFmtId="43" fontId="0" fillId="42" borderId="26" xfId="0" applyNumberFormat="1" applyFont="1" applyFill="1" applyBorder="1" applyAlignment="1">
      <alignment/>
    </xf>
    <xf numFmtId="43" fontId="0" fillId="42" borderId="27" xfId="0" applyNumberFormat="1" applyFont="1" applyFill="1" applyBorder="1" applyAlignment="1">
      <alignment/>
    </xf>
    <xf numFmtId="0" fontId="0" fillId="43" borderId="19" xfId="0" applyFill="1" applyBorder="1" applyAlignment="1">
      <alignment horizontal="center"/>
    </xf>
    <xf numFmtId="43" fontId="0" fillId="43" borderId="19" xfId="0" applyNumberFormat="1" applyFont="1" applyFill="1" applyBorder="1" applyAlignment="1">
      <alignment/>
    </xf>
    <xf numFmtId="43" fontId="0" fillId="43" borderId="23" xfId="0" applyNumberFormat="1" applyFont="1" applyFill="1" applyBorder="1" applyAlignment="1">
      <alignment/>
    </xf>
    <xf numFmtId="43" fontId="0" fillId="43" borderId="20" xfId="0" applyNumberFormat="1" applyFont="1" applyFill="1" applyBorder="1" applyAlignment="1">
      <alignment/>
    </xf>
    <xf numFmtId="43" fontId="0" fillId="43" borderId="0" xfId="0" applyNumberFormat="1" applyFill="1" applyAlignment="1">
      <alignment/>
    </xf>
    <xf numFmtId="0" fontId="0" fillId="43" borderId="25" xfId="0" applyFill="1" applyBorder="1" applyAlignment="1">
      <alignment horizontal="center"/>
    </xf>
    <xf numFmtId="43" fontId="0" fillId="43" borderId="21" xfId="0" applyNumberFormat="1" applyFont="1" applyFill="1" applyBorder="1" applyAlignment="1">
      <alignment/>
    </xf>
    <xf numFmtId="39" fontId="0" fillId="43" borderId="21" xfId="0" applyNumberFormat="1" applyFont="1" applyFill="1" applyBorder="1" applyAlignment="1">
      <alignment horizontal="center"/>
    </xf>
    <xf numFmtId="43" fontId="0" fillId="43" borderId="10" xfId="0" applyNumberFormat="1" applyFont="1" applyFill="1" applyBorder="1" applyAlignment="1">
      <alignment/>
    </xf>
    <xf numFmtId="43" fontId="0" fillId="43" borderId="22" xfId="0" applyNumberFormat="1" applyFont="1" applyFill="1" applyBorder="1" applyAlignment="1">
      <alignment/>
    </xf>
    <xf numFmtId="43" fontId="0" fillId="43" borderId="25" xfId="0" applyNumberFormat="1" applyFont="1" applyFill="1" applyBorder="1" applyAlignment="1">
      <alignment/>
    </xf>
    <xf numFmtId="39" fontId="0" fillId="43" borderId="25" xfId="0" applyNumberFormat="1" applyFont="1" applyFill="1" applyBorder="1" applyAlignment="1">
      <alignment horizontal="center"/>
    </xf>
    <xf numFmtId="43" fontId="0" fillId="43" borderId="26" xfId="0" applyNumberFormat="1" applyFont="1" applyFill="1" applyBorder="1" applyAlignment="1">
      <alignment/>
    </xf>
    <xf numFmtId="43" fontId="0" fillId="43" borderId="27" xfId="0" applyNumberFormat="1" applyFont="1" applyFill="1" applyBorder="1" applyAlignment="1">
      <alignment/>
    </xf>
    <xf numFmtId="40" fontId="0" fillId="0" borderId="0" xfId="0" applyNumberFormat="1" applyAlignment="1">
      <alignment horizontal="right"/>
    </xf>
    <xf numFmtId="0" fontId="0" fillId="44" borderId="19" xfId="0" applyFill="1" applyBorder="1" applyAlignment="1">
      <alignment horizontal="center"/>
    </xf>
    <xf numFmtId="43" fontId="0" fillId="44" borderId="19" xfId="0" applyNumberFormat="1" applyFont="1" applyFill="1" applyBorder="1" applyAlignment="1">
      <alignment/>
    </xf>
    <xf numFmtId="43" fontId="0" fillId="44" borderId="23" xfId="0" applyNumberFormat="1" applyFont="1" applyFill="1" applyBorder="1" applyAlignment="1">
      <alignment/>
    </xf>
    <xf numFmtId="43" fontId="0" fillId="44" borderId="20" xfId="0" applyNumberFormat="1" applyFont="1" applyFill="1" applyBorder="1" applyAlignment="1">
      <alignment/>
    </xf>
    <xf numFmtId="43" fontId="0" fillId="44" borderId="0" xfId="0" applyNumberFormat="1" applyFill="1" applyAlignment="1">
      <alignment/>
    </xf>
    <xf numFmtId="0" fontId="0" fillId="44" borderId="25" xfId="0" applyFill="1" applyBorder="1" applyAlignment="1">
      <alignment horizontal="center"/>
    </xf>
    <xf numFmtId="43" fontId="0" fillId="44" borderId="21" xfId="0" applyNumberFormat="1" applyFont="1" applyFill="1" applyBorder="1" applyAlignment="1">
      <alignment/>
    </xf>
    <xf numFmtId="39" fontId="0" fillId="44" borderId="21" xfId="0" applyNumberFormat="1" applyFont="1" applyFill="1" applyBorder="1" applyAlignment="1">
      <alignment horizontal="center"/>
    </xf>
    <xf numFmtId="43" fontId="0" fillId="44" borderId="10" xfId="0" applyNumberFormat="1" applyFont="1" applyFill="1" applyBorder="1" applyAlignment="1">
      <alignment/>
    </xf>
    <xf numFmtId="43" fontId="0" fillId="44" borderId="22" xfId="0" applyNumberFormat="1" applyFont="1" applyFill="1" applyBorder="1" applyAlignment="1">
      <alignment/>
    </xf>
    <xf numFmtId="43" fontId="0" fillId="44" borderId="25" xfId="0" applyNumberFormat="1" applyFont="1" applyFill="1" applyBorder="1" applyAlignment="1">
      <alignment/>
    </xf>
    <xf numFmtId="39" fontId="0" fillId="44" borderId="25" xfId="0" applyNumberFormat="1" applyFont="1" applyFill="1" applyBorder="1" applyAlignment="1">
      <alignment horizontal="center"/>
    </xf>
    <xf numFmtId="43" fontId="0" fillId="44" borderId="26" xfId="0" applyNumberFormat="1" applyFont="1" applyFill="1" applyBorder="1" applyAlignment="1">
      <alignment/>
    </xf>
    <xf numFmtId="43" fontId="0" fillId="44" borderId="27" xfId="0" applyNumberFormat="1" applyFont="1" applyFill="1" applyBorder="1" applyAlignment="1">
      <alignment/>
    </xf>
    <xf numFmtId="0" fontId="0" fillId="45" borderId="19" xfId="0" applyFill="1" applyBorder="1" applyAlignment="1">
      <alignment horizontal="center"/>
    </xf>
    <xf numFmtId="43" fontId="0" fillId="45" borderId="19" xfId="0" applyNumberFormat="1" applyFont="1" applyFill="1" applyBorder="1" applyAlignment="1">
      <alignment/>
    </xf>
    <xf numFmtId="43" fontId="0" fillId="45" borderId="23" xfId="0" applyNumberFormat="1" applyFont="1" applyFill="1" applyBorder="1" applyAlignment="1">
      <alignment/>
    </xf>
    <xf numFmtId="43" fontId="0" fillId="45" borderId="20" xfId="0" applyNumberFormat="1" applyFont="1" applyFill="1" applyBorder="1" applyAlignment="1">
      <alignment/>
    </xf>
    <xf numFmtId="43" fontId="0" fillId="45" borderId="0" xfId="0" applyNumberFormat="1" applyFill="1" applyAlignment="1">
      <alignment/>
    </xf>
    <xf numFmtId="0" fontId="0" fillId="45" borderId="25" xfId="0" applyFill="1" applyBorder="1" applyAlignment="1">
      <alignment horizontal="center"/>
    </xf>
    <xf numFmtId="43" fontId="0" fillId="45" borderId="21" xfId="0" applyNumberFormat="1" applyFont="1" applyFill="1" applyBorder="1" applyAlignment="1">
      <alignment/>
    </xf>
    <xf numFmtId="39" fontId="0" fillId="45" borderId="21" xfId="0" applyNumberFormat="1" applyFont="1" applyFill="1" applyBorder="1" applyAlignment="1">
      <alignment horizontal="center"/>
    </xf>
    <xf numFmtId="43" fontId="0" fillId="45" borderId="10" xfId="0" applyNumberFormat="1" applyFont="1" applyFill="1" applyBorder="1" applyAlignment="1">
      <alignment/>
    </xf>
    <xf numFmtId="43" fontId="0" fillId="45" borderId="22" xfId="0" applyNumberFormat="1" applyFont="1" applyFill="1" applyBorder="1" applyAlignment="1">
      <alignment/>
    </xf>
    <xf numFmtId="0" fontId="0" fillId="46" borderId="19" xfId="0" applyFill="1" applyBorder="1" applyAlignment="1">
      <alignment horizontal="center"/>
    </xf>
    <xf numFmtId="43" fontId="0" fillId="46" borderId="19" xfId="0" applyNumberFormat="1" applyFont="1" applyFill="1" applyBorder="1" applyAlignment="1">
      <alignment/>
    </xf>
    <xf numFmtId="43" fontId="0" fillId="46" borderId="23" xfId="0" applyNumberFormat="1" applyFont="1" applyFill="1" applyBorder="1" applyAlignment="1">
      <alignment/>
    </xf>
    <xf numFmtId="43" fontId="0" fillId="46" borderId="20" xfId="0" applyNumberFormat="1" applyFont="1" applyFill="1" applyBorder="1" applyAlignment="1">
      <alignment/>
    </xf>
    <xf numFmtId="43" fontId="0" fillId="46" borderId="0" xfId="0" applyNumberFormat="1" applyFill="1" applyAlignment="1">
      <alignment/>
    </xf>
    <xf numFmtId="0" fontId="0" fillId="46" borderId="25" xfId="0" applyFill="1" applyBorder="1" applyAlignment="1">
      <alignment horizontal="center"/>
    </xf>
    <xf numFmtId="43" fontId="0" fillId="46" borderId="21" xfId="0" applyNumberFormat="1" applyFont="1" applyFill="1" applyBorder="1" applyAlignment="1">
      <alignment/>
    </xf>
    <xf numFmtId="39" fontId="0" fillId="46" borderId="21" xfId="0" applyNumberFormat="1" applyFont="1" applyFill="1" applyBorder="1" applyAlignment="1">
      <alignment horizontal="center"/>
    </xf>
    <xf numFmtId="43" fontId="0" fillId="46" borderId="10" xfId="0" applyNumberFormat="1" applyFont="1" applyFill="1" applyBorder="1" applyAlignment="1">
      <alignment/>
    </xf>
    <xf numFmtId="43" fontId="0" fillId="46" borderId="22" xfId="0" applyNumberFormat="1" applyFont="1" applyFill="1" applyBorder="1" applyAlignment="1">
      <alignment/>
    </xf>
    <xf numFmtId="0" fontId="0" fillId="47" borderId="19" xfId="0" applyFill="1" applyBorder="1" applyAlignment="1">
      <alignment/>
    </xf>
    <xf numFmtId="43" fontId="0" fillId="47" borderId="19" xfId="0" applyNumberFormat="1" applyFill="1" applyBorder="1" applyAlignment="1">
      <alignment/>
    </xf>
    <xf numFmtId="43" fontId="0" fillId="47" borderId="23" xfId="0" applyNumberFormat="1" applyFill="1" applyBorder="1" applyAlignment="1">
      <alignment/>
    </xf>
    <xf numFmtId="43" fontId="0" fillId="47" borderId="20" xfId="0" applyNumberFormat="1" applyFill="1" applyBorder="1" applyAlignment="1">
      <alignment/>
    </xf>
    <xf numFmtId="43" fontId="0" fillId="47" borderId="0" xfId="0" applyNumberFormat="1" applyFill="1" applyAlignment="1">
      <alignment/>
    </xf>
    <xf numFmtId="0" fontId="0" fillId="47" borderId="21" xfId="0" applyFill="1" applyBorder="1" applyAlignment="1">
      <alignment horizontal="center"/>
    </xf>
    <xf numFmtId="43" fontId="0" fillId="47" borderId="21" xfId="0" applyNumberFormat="1" applyFill="1" applyBorder="1" applyAlignment="1">
      <alignment/>
    </xf>
    <xf numFmtId="43" fontId="0" fillId="47" borderId="10" xfId="0" applyNumberFormat="1" applyFill="1" applyBorder="1" applyAlignment="1">
      <alignment/>
    </xf>
    <xf numFmtId="43" fontId="0" fillId="47" borderId="22" xfId="0" applyNumberFormat="1" applyFill="1" applyBorder="1" applyAlignment="1">
      <alignment/>
    </xf>
    <xf numFmtId="39" fontId="0" fillId="0" borderId="0" xfId="0" applyNumberFormat="1" applyFont="1" applyAlignment="1">
      <alignment horizontal="center"/>
    </xf>
    <xf numFmtId="0" fontId="0" fillId="46" borderId="17" xfId="0" applyFill="1" applyBorder="1" applyAlignment="1">
      <alignment horizontal="center"/>
    </xf>
    <xf numFmtId="43" fontId="0" fillId="46" borderId="17" xfId="0" applyNumberFormat="1" applyFont="1" applyFill="1" applyBorder="1" applyAlignment="1">
      <alignment/>
    </xf>
    <xf numFmtId="39" fontId="0" fillId="46" borderId="17" xfId="0" applyNumberFormat="1" applyFont="1" applyFill="1" applyBorder="1" applyAlignment="1">
      <alignment horizontal="center"/>
    </xf>
    <xf numFmtId="43" fontId="0" fillId="46" borderId="11" xfId="0" applyNumberFormat="1" applyFont="1" applyFill="1" applyBorder="1" applyAlignment="1">
      <alignment/>
    </xf>
    <xf numFmtId="43" fontId="0" fillId="46" borderId="18" xfId="0" applyNumberFormat="1" applyFont="1" applyFill="1" applyBorder="1" applyAlignment="1">
      <alignment/>
    </xf>
    <xf numFmtId="0" fontId="0" fillId="47" borderId="15" xfId="0" applyFill="1" applyBorder="1" applyAlignment="1">
      <alignment/>
    </xf>
    <xf numFmtId="43" fontId="0" fillId="47" borderId="15" xfId="0" applyNumberFormat="1" applyFill="1" applyBorder="1" applyAlignment="1">
      <alignment/>
    </xf>
    <xf numFmtId="43" fontId="0" fillId="47" borderId="24" xfId="0" applyNumberFormat="1" applyFill="1" applyBorder="1" applyAlignment="1">
      <alignment/>
    </xf>
    <xf numFmtId="43" fontId="0" fillId="47" borderId="16" xfId="0" applyNumberFormat="1" applyFill="1" applyBorder="1" applyAlignment="1">
      <alignment/>
    </xf>
    <xf numFmtId="0" fontId="0" fillId="47" borderId="25" xfId="0" applyFill="1" applyBorder="1" applyAlignment="1">
      <alignment horizontal="center"/>
    </xf>
    <xf numFmtId="43" fontId="0" fillId="47" borderId="25" xfId="0" applyNumberFormat="1" applyFill="1" applyBorder="1" applyAlignment="1">
      <alignment/>
    </xf>
    <xf numFmtId="43" fontId="0" fillId="47" borderId="26" xfId="0" applyNumberFormat="1" applyFill="1" applyBorder="1" applyAlignment="1">
      <alignment/>
    </xf>
    <xf numFmtId="43" fontId="0" fillId="47" borderId="27" xfId="0" applyNumberFormat="1" applyFill="1" applyBorder="1" applyAlignment="1">
      <alignment/>
    </xf>
    <xf numFmtId="0" fontId="0" fillId="48" borderId="19" xfId="0" applyFill="1" applyBorder="1" applyAlignment="1">
      <alignment/>
    </xf>
    <xf numFmtId="43" fontId="0" fillId="48" borderId="19" xfId="0" applyNumberFormat="1" applyFill="1" applyBorder="1" applyAlignment="1">
      <alignment/>
    </xf>
    <xf numFmtId="43" fontId="0" fillId="48" borderId="23" xfId="0" applyNumberFormat="1" applyFill="1" applyBorder="1" applyAlignment="1">
      <alignment/>
    </xf>
    <xf numFmtId="43" fontId="0" fillId="48" borderId="20" xfId="0" applyNumberFormat="1" applyFill="1" applyBorder="1" applyAlignment="1">
      <alignment/>
    </xf>
    <xf numFmtId="43" fontId="0" fillId="48" borderId="0" xfId="0" applyNumberFormat="1" applyFill="1" applyAlignment="1">
      <alignment/>
    </xf>
    <xf numFmtId="0" fontId="0" fillId="48" borderId="21" xfId="0" applyFill="1" applyBorder="1" applyAlignment="1">
      <alignment horizontal="center"/>
    </xf>
    <xf numFmtId="43" fontId="0" fillId="48" borderId="21" xfId="0" applyNumberFormat="1" applyFill="1" applyBorder="1" applyAlignment="1">
      <alignment/>
    </xf>
    <xf numFmtId="43" fontId="0" fillId="48" borderId="10" xfId="0" applyNumberFormat="1" applyFill="1" applyBorder="1" applyAlignment="1">
      <alignment/>
    </xf>
    <xf numFmtId="43" fontId="0" fillId="48" borderId="22" xfId="0" applyNumberFormat="1" applyFill="1" applyBorder="1" applyAlignment="1">
      <alignment/>
    </xf>
    <xf numFmtId="0" fontId="0" fillId="48" borderId="25" xfId="0" applyFill="1" applyBorder="1" applyAlignment="1">
      <alignment horizontal="center"/>
    </xf>
    <xf numFmtId="43" fontId="0" fillId="48" borderId="25" xfId="0" applyNumberFormat="1" applyFill="1" applyBorder="1" applyAlignment="1">
      <alignment/>
    </xf>
    <xf numFmtId="43" fontId="0" fillId="48" borderId="26" xfId="0" applyNumberFormat="1" applyFill="1" applyBorder="1" applyAlignment="1">
      <alignment/>
    </xf>
    <xf numFmtId="43" fontId="0" fillId="48" borderId="27" xfId="0" applyNumberFormat="1" applyFill="1" applyBorder="1" applyAlignment="1">
      <alignment/>
    </xf>
    <xf numFmtId="0" fontId="0" fillId="49" borderId="19" xfId="0" applyFill="1" applyBorder="1" applyAlignment="1">
      <alignment/>
    </xf>
    <xf numFmtId="43" fontId="0" fillId="49" borderId="19" xfId="0" applyNumberFormat="1" applyFill="1" applyBorder="1" applyAlignment="1">
      <alignment/>
    </xf>
    <xf numFmtId="43" fontId="0" fillId="49" borderId="23" xfId="0" applyNumberFormat="1" applyFill="1" applyBorder="1" applyAlignment="1">
      <alignment/>
    </xf>
    <xf numFmtId="43" fontId="0" fillId="49" borderId="20" xfId="0" applyNumberFormat="1" applyFill="1" applyBorder="1" applyAlignment="1">
      <alignment/>
    </xf>
    <xf numFmtId="43" fontId="0" fillId="49" borderId="0" xfId="0" applyNumberFormat="1" applyFill="1" applyAlignment="1">
      <alignment/>
    </xf>
    <xf numFmtId="0" fontId="0" fillId="49" borderId="21" xfId="0" applyFill="1" applyBorder="1" applyAlignment="1">
      <alignment horizontal="center"/>
    </xf>
    <xf numFmtId="43" fontId="0" fillId="49" borderId="21" xfId="0" applyNumberFormat="1" applyFill="1" applyBorder="1" applyAlignment="1">
      <alignment/>
    </xf>
    <xf numFmtId="43" fontId="0" fillId="49" borderId="10" xfId="0" applyNumberFormat="1" applyFill="1" applyBorder="1" applyAlignment="1">
      <alignment/>
    </xf>
    <xf numFmtId="43" fontId="0" fillId="49" borderId="22" xfId="0" applyNumberFormat="1" applyFill="1" applyBorder="1" applyAlignment="1">
      <alignment/>
    </xf>
    <xf numFmtId="0" fontId="0" fillId="49" borderId="25" xfId="0" applyFill="1" applyBorder="1" applyAlignment="1">
      <alignment horizontal="center"/>
    </xf>
    <xf numFmtId="43" fontId="0" fillId="49" borderId="25" xfId="0" applyNumberFormat="1" applyFill="1" applyBorder="1" applyAlignment="1">
      <alignment/>
    </xf>
    <xf numFmtId="43" fontId="0" fillId="49" borderId="26" xfId="0" applyNumberFormat="1" applyFill="1" applyBorder="1" applyAlignment="1">
      <alignment/>
    </xf>
    <xf numFmtId="43" fontId="0" fillId="49" borderId="27" xfId="0" applyNumberFormat="1" applyFill="1" applyBorder="1" applyAlignment="1">
      <alignment/>
    </xf>
    <xf numFmtId="0" fontId="0" fillId="50" borderId="19" xfId="0" applyFill="1" applyBorder="1" applyAlignment="1">
      <alignment horizontal="center"/>
    </xf>
    <xf numFmtId="43" fontId="0" fillId="50" borderId="19" xfId="0" applyNumberFormat="1" applyFont="1" applyFill="1" applyBorder="1" applyAlignment="1">
      <alignment/>
    </xf>
    <xf numFmtId="43" fontId="0" fillId="50" borderId="23" xfId="0" applyNumberFormat="1" applyFont="1" applyFill="1" applyBorder="1" applyAlignment="1">
      <alignment/>
    </xf>
    <xf numFmtId="43" fontId="0" fillId="50" borderId="20" xfId="0" applyNumberFormat="1" applyFont="1" applyFill="1" applyBorder="1" applyAlignment="1">
      <alignment/>
    </xf>
    <xf numFmtId="43" fontId="0" fillId="50" borderId="0" xfId="0" applyNumberFormat="1" applyFill="1" applyAlignment="1">
      <alignment/>
    </xf>
    <xf numFmtId="0" fontId="0" fillId="50" borderId="25" xfId="0" applyFill="1" applyBorder="1" applyAlignment="1">
      <alignment horizontal="center"/>
    </xf>
    <xf numFmtId="43" fontId="0" fillId="50" borderId="21" xfId="0" applyNumberFormat="1" applyFont="1" applyFill="1" applyBorder="1" applyAlignment="1">
      <alignment/>
    </xf>
    <xf numFmtId="39" fontId="0" fillId="50" borderId="21" xfId="0" applyNumberFormat="1" applyFont="1" applyFill="1" applyBorder="1" applyAlignment="1">
      <alignment horizontal="center"/>
    </xf>
    <xf numFmtId="43" fontId="0" fillId="50" borderId="10" xfId="0" applyNumberFormat="1" applyFont="1" applyFill="1" applyBorder="1" applyAlignment="1">
      <alignment/>
    </xf>
    <xf numFmtId="43" fontId="0" fillId="50" borderId="22" xfId="0" applyNumberFormat="1" applyFont="1" applyFill="1" applyBorder="1" applyAlignment="1">
      <alignment/>
    </xf>
    <xf numFmtId="43" fontId="0" fillId="50" borderId="19" xfId="0" applyNumberFormat="1" applyFont="1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43" fontId="0" fillId="51" borderId="19" xfId="0" applyNumberFormat="1" applyFont="1" applyFill="1" applyBorder="1" applyAlignment="1">
      <alignment/>
    </xf>
    <xf numFmtId="43" fontId="0" fillId="51" borderId="23" xfId="0" applyNumberFormat="1" applyFont="1" applyFill="1" applyBorder="1" applyAlignment="1">
      <alignment/>
    </xf>
    <xf numFmtId="43" fontId="0" fillId="51" borderId="20" xfId="0" applyNumberFormat="1" applyFont="1" applyFill="1" applyBorder="1" applyAlignment="1">
      <alignment/>
    </xf>
    <xf numFmtId="43" fontId="0" fillId="51" borderId="0" xfId="0" applyNumberFormat="1" applyFill="1" applyAlignment="1">
      <alignment/>
    </xf>
    <xf numFmtId="0" fontId="0" fillId="51" borderId="25" xfId="0" applyFill="1" applyBorder="1" applyAlignment="1">
      <alignment horizontal="center"/>
    </xf>
    <xf numFmtId="43" fontId="0" fillId="51" borderId="21" xfId="0" applyNumberFormat="1" applyFont="1" applyFill="1" applyBorder="1" applyAlignment="1">
      <alignment/>
    </xf>
    <xf numFmtId="39" fontId="0" fillId="51" borderId="21" xfId="0" applyNumberFormat="1" applyFont="1" applyFill="1" applyBorder="1" applyAlignment="1">
      <alignment horizontal="center"/>
    </xf>
    <xf numFmtId="43" fontId="0" fillId="51" borderId="10" xfId="0" applyNumberFormat="1" applyFont="1" applyFill="1" applyBorder="1" applyAlignment="1">
      <alignment/>
    </xf>
    <xf numFmtId="43" fontId="0" fillId="51" borderId="22" xfId="0" applyNumberFormat="1" applyFont="1" applyFill="1" applyBorder="1" applyAlignment="1">
      <alignment/>
    </xf>
    <xf numFmtId="17" fontId="0" fillId="0" borderId="0" xfId="0" applyNumberFormat="1" applyAlignment="1">
      <alignment horizontal="center" vertical="center"/>
    </xf>
    <xf numFmtId="0" fontId="0" fillId="14" borderId="42" xfId="0" applyFill="1" applyBorder="1" applyAlignment="1">
      <alignment horizontal="center"/>
    </xf>
    <xf numFmtId="43" fontId="0" fillId="14" borderId="42" xfId="0" applyNumberFormat="1" applyFont="1" applyFill="1" applyBorder="1" applyAlignment="1">
      <alignment/>
    </xf>
    <xf numFmtId="39" fontId="0" fillId="14" borderId="42" xfId="0" applyNumberFormat="1" applyFont="1" applyFill="1" applyBorder="1" applyAlignment="1">
      <alignment horizontal="center"/>
    </xf>
    <xf numFmtId="43" fontId="0" fillId="14" borderId="43" xfId="0" applyNumberFormat="1" applyFont="1" applyFill="1" applyBorder="1" applyAlignment="1">
      <alignment/>
    </xf>
    <xf numFmtId="43" fontId="0" fillId="14" borderId="44" xfId="0" applyNumberFormat="1" applyFont="1" applyFill="1" applyBorder="1" applyAlignment="1">
      <alignment/>
    </xf>
    <xf numFmtId="43" fontId="0" fillId="14" borderId="0" xfId="0" applyNumberFormat="1" applyFill="1" applyAlignment="1">
      <alignment/>
    </xf>
    <xf numFmtId="0" fontId="0" fillId="14" borderId="26" xfId="0" applyFill="1" applyBorder="1" applyAlignment="1">
      <alignment horizontal="center"/>
    </xf>
    <xf numFmtId="43" fontId="0" fillId="14" borderId="25" xfId="0" applyNumberFormat="1" applyFont="1" applyFill="1" applyBorder="1" applyAlignment="1">
      <alignment/>
    </xf>
    <xf numFmtId="39" fontId="0" fillId="14" borderId="25" xfId="0" applyNumberFormat="1" applyFont="1" applyFill="1" applyBorder="1" applyAlignment="1">
      <alignment horizontal="center"/>
    </xf>
    <xf numFmtId="43" fontId="0" fillId="14" borderId="26" xfId="0" applyNumberFormat="1" applyFont="1" applyFill="1" applyBorder="1" applyAlignment="1">
      <alignment/>
    </xf>
    <xf numFmtId="43" fontId="0" fillId="14" borderId="27" xfId="0" applyNumberFormat="1" applyFont="1" applyFill="1" applyBorder="1" applyAlignment="1">
      <alignment/>
    </xf>
    <xf numFmtId="0" fontId="0" fillId="7" borderId="42" xfId="0" applyFill="1" applyBorder="1" applyAlignment="1">
      <alignment horizontal="center"/>
    </xf>
    <xf numFmtId="43" fontId="0" fillId="7" borderId="42" xfId="0" applyNumberFormat="1" applyFont="1" applyFill="1" applyBorder="1" applyAlignment="1">
      <alignment/>
    </xf>
    <xf numFmtId="39" fontId="0" fillId="7" borderId="42" xfId="0" applyNumberFormat="1" applyFont="1" applyFill="1" applyBorder="1" applyAlignment="1">
      <alignment horizontal="center"/>
    </xf>
    <xf numFmtId="43" fontId="0" fillId="7" borderId="43" xfId="0" applyNumberFormat="1" applyFont="1" applyFill="1" applyBorder="1" applyAlignment="1">
      <alignment/>
    </xf>
    <xf numFmtId="43" fontId="0" fillId="7" borderId="44" xfId="0" applyNumberFormat="1" applyFont="1" applyFill="1" applyBorder="1" applyAlignment="1">
      <alignment/>
    </xf>
    <xf numFmtId="43" fontId="0" fillId="7" borderId="0" xfId="0" applyNumberFormat="1" applyFill="1" applyAlignment="1">
      <alignment/>
    </xf>
    <xf numFmtId="0" fontId="0" fillId="7" borderId="26" xfId="0" applyFill="1" applyBorder="1" applyAlignment="1">
      <alignment horizontal="center"/>
    </xf>
    <xf numFmtId="43" fontId="0" fillId="7" borderId="25" xfId="0" applyNumberFormat="1" applyFont="1" applyFill="1" applyBorder="1" applyAlignment="1">
      <alignment/>
    </xf>
    <xf numFmtId="39" fontId="0" fillId="7" borderId="25" xfId="0" applyNumberFormat="1" applyFont="1" applyFill="1" applyBorder="1" applyAlignment="1">
      <alignment horizontal="center"/>
    </xf>
    <xf numFmtId="43" fontId="0" fillId="7" borderId="26" xfId="0" applyNumberFormat="1" applyFont="1" applyFill="1" applyBorder="1" applyAlignment="1">
      <alignment/>
    </xf>
    <xf numFmtId="43" fontId="0" fillId="7" borderId="27" xfId="0" applyNumberFormat="1" applyFont="1" applyFill="1" applyBorder="1" applyAlignment="1">
      <alignment/>
    </xf>
    <xf numFmtId="39" fontId="0" fillId="7" borderId="25" xfId="0" applyNumberFormat="1" applyFont="1" applyFill="1" applyBorder="1" applyAlignment="1">
      <alignment horizontal="right"/>
    </xf>
    <xf numFmtId="39" fontId="0" fillId="14" borderId="25" xfId="0" applyNumberFormat="1" applyFont="1" applyFill="1" applyBorder="1" applyAlignment="1">
      <alignment horizontal="right"/>
    </xf>
    <xf numFmtId="0" fontId="0" fillId="52" borderId="42" xfId="0" applyFill="1" applyBorder="1" applyAlignment="1">
      <alignment horizontal="center"/>
    </xf>
    <xf numFmtId="43" fontId="0" fillId="52" borderId="42" xfId="0" applyNumberFormat="1" applyFont="1" applyFill="1" applyBorder="1" applyAlignment="1">
      <alignment/>
    </xf>
    <xf numFmtId="39" fontId="0" fillId="52" borderId="42" xfId="0" applyNumberFormat="1" applyFont="1" applyFill="1" applyBorder="1" applyAlignment="1">
      <alignment horizontal="center"/>
    </xf>
    <xf numFmtId="43" fontId="0" fillId="52" borderId="43" xfId="0" applyNumberFormat="1" applyFont="1" applyFill="1" applyBorder="1" applyAlignment="1">
      <alignment/>
    </xf>
    <xf numFmtId="43" fontId="0" fillId="52" borderId="44" xfId="0" applyNumberFormat="1" applyFont="1" applyFill="1" applyBorder="1" applyAlignment="1">
      <alignment/>
    </xf>
    <xf numFmtId="43" fontId="0" fillId="52" borderId="0" xfId="0" applyNumberFormat="1" applyFill="1" applyAlignment="1">
      <alignment/>
    </xf>
    <xf numFmtId="0" fontId="0" fillId="52" borderId="26" xfId="0" applyFill="1" applyBorder="1" applyAlignment="1">
      <alignment horizontal="center"/>
    </xf>
    <xf numFmtId="43" fontId="0" fillId="52" borderId="25" xfId="0" applyNumberFormat="1" applyFont="1" applyFill="1" applyBorder="1" applyAlignment="1">
      <alignment/>
    </xf>
    <xf numFmtId="39" fontId="0" fillId="52" borderId="25" xfId="0" applyNumberFormat="1" applyFont="1" applyFill="1" applyBorder="1" applyAlignment="1">
      <alignment horizontal="center"/>
    </xf>
    <xf numFmtId="43" fontId="0" fillId="52" borderId="26" xfId="0" applyNumberFormat="1" applyFont="1" applyFill="1" applyBorder="1" applyAlignment="1">
      <alignment/>
    </xf>
    <xf numFmtId="43" fontId="0" fillId="52" borderId="27" xfId="0" applyNumberFormat="1" applyFont="1" applyFill="1" applyBorder="1" applyAlignment="1">
      <alignment/>
    </xf>
    <xf numFmtId="0" fontId="0" fillId="53" borderId="42" xfId="0" applyFill="1" applyBorder="1" applyAlignment="1">
      <alignment horizontal="center"/>
    </xf>
    <xf numFmtId="43" fontId="0" fillId="53" borderId="42" xfId="0" applyNumberFormat="1" applyFont="1" applyFill="1" applyBorder="1" applyAlignment="1">
      <alignment/>
    </xf>
    <xf numFmtId="43" fontId="0" fillId="53" borderId="43" xfId="0" applyNumberFormat="1" applyFont="1" applyFill="1" applyBorder="1" applyAlignment="1">
      <alignment/>
    </xf>
    <xf numFmtId="43" fontId="0" fillId="53" borderId="44" xfId="0" applyNumberFormat="1" applyFont="1" applyFill="1" applyBorder="1" applyAlignment="1">
      <alignment/>
    </xf>
    <xf numFmtId="43" fontId="0" fillId="53" borderId="0" xfId="0" applyNumberFormat="1" applyFill="1" applyAlignment="1">
      <alignment/>
    </xf>
    <xf numFmtId="0" fontId="0" fillId="53" borderId="26" xfId="0" applyFill="1" applyBorder="1" applyAlignment="1">
      <alignment horizontal="center"/>
    </xf>
    <xf numFmtId="43" fontId="0" fillId="53" borderId="25" xfId="0" applyNumberFormat="1" applyFont="1" applyFill="1" applyBorder="1" applyAlignment="1">
      <alignment/>
    </xf>
    <xf numFmtId="39" fontId="0" fillId="53" borderId="25" xfId="0" applyNumberFormat="1" applyFont="1" applyFill="1" applyBorder="1" applyAlignment="1">
      <alignment horizontal="center"/>
    </xf>
    <xf numFmtId="43" fontId="0" fillId="53" borderId="26" xfId="0" applyNumberFormat="1" applyFont="1" applyFill="1" applyBorder="1" applyAlignment="1">
      <alignment/>
    </xf>
    <xf numFmtId="43" fontId="0" fillId="53" borderId="27" xfId="0" applyNumberFormat="1" applyFont="1" applyFill="1" applyBorder="1" applyAlignment="1">
      <alignment/>
    </xf>
    <xf numFmtId="0" fontId="0" fillId="54" borderId="42" xfId="0" applyFill="1" applyBorder="1" applyAlignment="1">
      <alignment horizontal="center"/>
    </xf>
    <xf numFmtId="43" fontId="0" fillId="54" borderId="42" xfId="0" applyNumberFormat="1" applyFont="1" applyFill="1" applyBorder="1" applyAlignment="1">
      <alignment/>
    </xf>
    <xf numFmtId="43" fontId="0" fillId="54" borderId="43" xfId="0" applyNumberFormat="1" applyFont="1" applyFill="1" applyBorder="1" applyAlignment="1">
      <alignment/>
    </xf>
    <xf numFmtId="43" fontId="0" fillId="54" borderId="44" xfId="0" applyNumberFormat="1" applyFont="1" applyFill="1" applyBorder="1" applyAlignment="1">
      <alignment/>
    </xf>
    <xf numFmtId="43" fontId="0" fillId="54" borderId="0" xfId="0" applyNumberFormat="1" applyFill="1" applyAlignment="1">
      <alignment/>
    </xf>
    <xf numFmtId="0" fontId="0" fillId="54" borderId="26" xfId="0" applyFill="1" applyBorder="1" applyAlignment="1">
      <alignment horizontal="center"/>
    </xf>
    <xf numFmtId="43" fontId="0" fillId="54" borderId="25" xfId="0" applyNumberFormat="1" applyFont="1" applyFill="1" applyBorder="1" applyAlignment="1">
      <alignment/>
    </xf>
    <xf numFmtId="39" fontId="0" fillId="54" borderId="25" xfId="0" applyNumberFormat="1" applyFont="1" applyFill="1" applyBorder="1" applyAlignment="1">
      <alignment horizontal="center"/>
    </xf>
    <xf numFmtId="43" fontId="0" fillId="54" borderId="26" xfId="0" applyNumberFormat="1" applyFont="1" applyFill="1" applyBorder="1" applyAlignment="1">
      <alignment/>
    </xf>
    <xf numFmtId="43" fontId="0" fillId="54" borderId="27" xfId="0" applyNumberFormat="1" applyFont="1" applyFill="1" applyBorder="1" applyAlignment="1">
      <alignment/>
    </xf>
    <xf numFmtId="17" fontId="0" fillId="53" borderId="45" xfId="0" applyNumberFormat="1" applyFont="1" applyFill="1" applyBorder="1" applyAlignment="1" quotePrefix="1">
      <alignment horizontal="center" vertical="center"/>
    </xf>
    <xf numFmtId="17" fontId="0" fillId="53" borderId="46" xfId="0" applyNumberFormat="1" applyFont="1" applyFill="1" applyBorder="1" applyAlignment="1" quotePrefix="1">
      <alignment horizontal="center" vertical="center"/>
    </xf>
    <xf numFmtId="17" fontId="0" fillId="50" borderId="45" xfId="0" applyNumberFormat="1" applyFont="1" applyFill="1" applyBorder="1" applyAlignment="1" quotePrefix="1">
      <alignment horizontal="center" vertical="center"/>
    </xf>
    <xf numFmtId="17" fontId="0" fillId="50" borderId="46" xfId="0" applyNumberFormat="1" applyFont="1" applyFill="1" applyBorder="1" applyAlignment="1">
      <alignment horizontal="center" vertical="center"/>
    </xf>
    <xf numFmtId="17" fontId="0" fillId="35" borderId="14" xfId="0" applyNumberFormat="1" applyFont="1" applyFill="1" applyBorder="1" applyAlignment="1">
      <alignment horizontal="center" vertical="center"/>
    </xf>
    <xf numFmtId="17" fontId="0" fillId="52" borderId="45" xfId="0" applyNumberFormat="1" applyFont="1" applyFill="1" applyBorder="1" applyAlignment="1" quotePrefix="1">
      <alignment horizontal="center" vertical="center"/>
    </xf>
    <xf numFmtId="17" fontId="0" fillId="52" borderId="46" xfId="0" applyNumberFormat="1" applyFont="1" applyFill="1" applyBorder="1" applyAlignment="1" quotePrefix="1">
      <alignment horizontal="center" vertical="center"/>
    </xf>
    <xf numFmtId="17" fontId="0" fillId="14" borderId="45" xfId="0" applyNumberFormat="1" applyFont="1" applyFill="1" applyBorder="1" applyAlignment="1" quotePrefix="1">
      <alignment horizontal="center" vertical="center"/>
    </xf>
    <xf numFmtId="17" fontId="0" fillId="14" borderId="46" xfId="0" applyNumberFormat="1" applyFont="1" applyFill="1" applyBorder="1" applyAlignment="1" quotePrefix="1">
      <alignment horizontal="center" vertical="center"/>
    </xf>
    <xf numFmtId="17" fontId="0" fillId="42" borderId="45" xfId="0" applyNumberFormat="1" applyFont="1" applyFill="1" applyBorder="1" applyAlignment="1" quotePrefix="1">
      <alignment horizontal="center" vertical="center"/>
    </xf>
    <xf numFmtId="17" fontId="0" fillId="42" borderId="46" xfId="0" applyNumberFormat="1" applyFont="1" applyFill="1" applyBorder="1" applyAlignment="1">
      <alignment horizontal="center" vertical="center"/>
    </xf>
    <xf numFmtId="17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" fontId="0" fillId="45" borderId="45" xfId="0" applyNumberFormat="1" applyFont="1" applyFill="1" applyBorder="1" applyAlignment="1" quotePrefix="1">
      <alignment horizontal="center" vertical="center"/>
    </xf>
    <xf numFmtId="17" fontId="0" fillId="45" borderId="46" xfId="0" applyNumberFormat="1" applyFont="1" applyFill="1" applyBorder="1" applyAlignment="1">
      <alignment horizontal="center" vertical="center"/>
    </xf>
    <xf numFmtId="17" fontId="0" fillId="7" borderId="45" xfId="0" applyNumberFormat="1" applyFont="1" applyFill="1" applyBorder="1" applyAlignment="1" quotePrefix="1">
      <alignment horizontal="center" vertical="center"/>
    </xf>
    <xf numFmtId="17" fontId="0" fillId="7" borderId="46" xfId="0" applyNumberFormat="1" applyFont="1" applyFill="1" applyBorder="1" applyAlignment="1" quotePrefix="1">
      <alignment horizontal="center" vertical="center"/>
    </xf>
    <xf numFmtId="17" fontId="0" fillId="34" borderId="14" xfId="0" applyNumberFormat="1" applyFont="1" applyFill="1" applyBorder="1" applyAlignment="1">
      <alignment horizontal="center" vertical="center"/>
    </xf>
    <xf numFmtId="17" fontId="0" fillId="51" borderId="45" xfId="0" applyNumberFormat="1" applyFont="1" applyFill="1" applyBorder="1" applyAlignment="1" quotePrefix="1">
      <alignment horizontal="center" vertical="center"/>
    </xf>
    <xf numFmtId="17" fontId="0" fillId="51" borderId="46" xfId="0" applyNumberFormat="1" applyFont="1" applyFill="1" applyBorder="1" applyAlignment="1">
      <alignment horizontal="center" vertical="center"/>
    </xf>
    <xf numFmtId="17" fontId="0" fillId="46" borderId="45" xfId="0" applyNumberFormat="1" applyFont="1" applyFill="1" applyBorder="1" applyAlignment="1" quotePrefix="1">
      <alignment horizontal="center" vertical="center"/>
    </xf>
    <xf numFmtId="17" fontId="0" fillId="46" borderId="46" xfId="0" applyNumberFormat="1" applyFont="1" applyFill="1" applyBorder="1" applyAlignment="1">
      <alignment horizontal="center" vertical="center"/>
    </xf>
    <xf numFmtId="17" fontId="0" fillId="49" borderId="47" xfId="0" applyNumberFormat="1" applyFill="1" applyBorder="1" applyAlignment="1">
      <alignment horizontal="center" vertical="center"/>
    </xf>
    <xf numFmtId="17" fontId="0" fillId="49" borderId="48" xfId="0" applyNumberFormat="1" applyFill="1" applyBorder="1" applyAlignment="1">
      <alignment horizontal="center" vertical="center"/>
    </xf>
    <xf numFmtId="17" fontId="0" fillId="41" borderId="45" xfId="0" applyNumberFormat="1" applyFont="1" applyFill="1" applyBorder="1" applyAlignment="1">
      <alignment horizontal="center" vertical="center"/>
    </xf>
    <xf numFmtId="17" fontId="0" fillId="41" borderId="46" xfId="0" applyNumberFormat="1" applyFont="1" applyFill="1" applyBorder="1" applyAlignment="1">
      <alignment horizontal="center" vertical="center"/>
    </xf>
    <xf numFmtId="17" fontId="0" fillId="37" borderId="45" xfId="0" applyNumberFormat="1" applyFont="1" applyFill="1" applyBorder="1" applyAlignment="1">
      <alignment horizontal="center" vertical="center"/>
    </xf>
    <xf numFmtId="17" fontId="0" fillId="37" borderId="46" xfId="0" applyNumberFormat="1" applyFont="1" applyFill="1" applyBorder="1" applyAlignment="1">
      <alignment horizontal="center" vertical="center"/>
    </xf>
    <xf numFmtId="17" fontId="0" fillId="48" borderId="47" xfId="0" applyNumberFormat="1" applyFill="1" applyBorder="1" applyAlignment="1">
      <alignment horizontal="center" vertical="center"/>
    </xf>
    <xf numFmtId="17" fontId="0" fillId="48" borderId="49" xfId="0" applyNumberFormat="1" applyFill="1" applyBorder="1" applyAlignment="1">
      <alignment horizontal="center" vertical="center"/>
    </xf>
    <xf numFmtId="17" fontId="0" fillId="39" borderId="45" xfId="0" applyNumberFormat="1" applyFont="1" applyFill="1" applyBorder="1" applyAlignment="1">
      <alignment horizontal="center" vertical="center"/>
    </xf>
    <xf numFmtId="17" fontId="0" fillId="39" borderId="46" xfId="0" applyNumberFormat="1" applyFont="1" applyFill="1" applyBorder="1" applyAlignment="1">
      <alignment horizontal="center" vertical="center"/>
    </xf>
    <xf numFmtId="17" fontId="0" fillId="47" borderId="47" xfId="0" applyNumberFormat="1" applyFill="1" applyBorder="1" applyAlignment="1">
      <alignment horizontal="center" vertical="center"/>
    </xf>
    <xf numFmtId="17" fontId="0" fillId="47" borderId="48" xfId="0" applyNumberFormat="1" applyFill="1" applyBorder="1" applyAlignment="1">
      <alignment horizontal="center" vertical="center"/>
    </xf>
    <xf numFmtId="17" fontId="0" fillId="40" borderId="45" xfId="0" applyNumberFormat="1" applyFont="1" applyFill="1" applyBorder="1" applyAlignment="1">
      <alignment horizontal="center" vertical="center"/>
    </xf>
    <xf numFmtId="17" fontId="0" fillId="40" borderId="46" xfId="0" applyNumberFormat="1" applyFont="1" applyFill="1" applyBorder="1" applyAlignment="1">
      <alignment horizontal="center" vertical="center"/>
    </xf>
    <xf numFmtId="17" fontId="0" fillId="34" borderId="14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17" fontId="0" fillId="48" borderId="48" xfId="0" applyNumberFormat="1" applyFill="1" applyBorder="1" applyAlignment="1">
      <alignment horizontal="center" vertical="center"/>
    </xf>
    <xf numFmtId="17" fontId="0" fillId="44" borderId="45" xfId="0" applyNumberFormat="1" applyFont="1" applyFill="1" applyBorder="1" applyAlignment="1" quotePrefix="1">
      <alignment horizontal="center" vertical="center"/>
    </xf>
    <xf numFmtId="17" fontId="0" fillId="44" borderId="46" xfId="0" applyNumberFormat="1" applyFont="1" applyFill="1" applyBorder="1" applyAlignment="1">
      <alignment horizontal="center" vertical="center"/>
    </xf>
    <xf numFmtId="17" fontId="0" fillId="36" borderId="14" xfId="0" applyNumberFormat="1" applyFont="1" applyFill="1" applyBorder="1" applyAlignment="1">
      <alignment horizontal="center" vertical="center"/>
    </xf>
    <xf numFmtId="17" fontId="0" fillId="34" borderId="14" xfId="0" applyNumberFormat="1" applyFill="1" applyBorder="1" applyAlignment="1">
      <alignment horizontal="center" vertical="center"/>
    </xf>
    <xf numFmtId="17" fontId="0" fillId="33" borderId="45" xfId="0" applyNumberFormat="1" applyFill="1" applyBorder="1" applyAlignment="1">
      <alignment horizontal="center" vertical="center"/>
    </xf>
    <xf numFmtId="17" fontId="0" fillId="33" borderId="46" xfId="0" applyNumberFormat="1" applyFill="1" applyBorder="1" applyAlignment="1">
      <alignment horizontal="center" vertical="center"/>
    </xf>
    <xf numFmtId="17" fontId="0" fillId="54" borderId="45" xfId="0" applyNumberFormat="1" applyFont="1" applyFill="1" applyBorder="1" applyAlignment="1" quotePrefix="1">
      <alignment horizontal="center" vertical="center"/>
    </xf>
    <xf numFmtId="17" fontId="0" fillId="54" borderId="46" xfId="0" applyNumberFormat="1" applyFont="1" applyFill="1" applyBorder="1" applyAlignment="1" quotePrefix="1">
      <alignment horizontal="center" vertical="center"/>
    </xf>
    <xf numFmtId="17" fontId="0" fillId="33" borderId="47" xfId="0" applyNumberFormat="1" applyFill="1" applyBorder="1" applyAlignment="1">
      <alignment horizontal="center" vertical="center"/>
    </xf>
    <xf numFmtId="17" fontId="0" fillId="33" borderId="48" xfId="0" applyNumberFormat="1" applyFill="1" applyBorder="1" applyAlignment="1">
      <alignment horizontal="center" vertical="center"/>
    </xf>
    <xf numFmtId="17" fontId="0" fillId="41" borderId="45" xfId="0" applyNumberFormat="1" applyFont="1" applyFill="1" applyBorder="1" applyAlignment="1" quotePrefix="1">
      <alignment horizontal="center" vertical="center"/>
    </xf>
    <xf numFmtId="17" fontId="0" fillId="39" borderId="45" xfId="0" applyNumberFormat="1" applyFont="1" applyFill="1" applyBorder="1" applyAlignment="1" quotePrefix="1">
      <alignment horizontal="center" vertical="center"/>
    </xf>
    <xf numFmtId="17" fontId="0" fillId="40" borderId="45" xfId="0" applyNumberFormat="1" applyFont="1" applyFill="1" applyBorder="1" applyAlignment="1" quotePrefix="1">
      <alignment horizontal="center" vertical="center"/>
    </xf>
    <xf numFmtId="17" fontId="0" fillId="33" borderId="14" xfId="0" applyNumberFormat="1" applyFill="1" applyBorder="1" applyAlignment="1">
      <alignment horizontal="center" vertical="center"/>
    </xf>
    <xf numFmtId="17" fontId="0" fillId="47" borderId="50" xfId="0" applyNumberFormat="1" applyFill="1" applyBorder="1" applyAlignment="1">
      <alignment horizontal="center" vertical="center"/>
    </xf>
    <xf numFmtId="17" fontId="0" fillId="47" borderId="49" xfId="0" applyNumberFormat="1" applyFill="1" applyBorder="1" applyAlignment="1">
      <alignment horizontal="center" vertical="center"/>
    </xf>
    <xf numFmtId="17" fontId="0" fillId="37" borderId="51" xfId="0" applyNumberFormat="1" applyFont="1" applyFill="1" applyBorder="1" applyAlignment="1">
      <alignment horizontal="center" vertical="center"/>
    </xf>
    <xf numFmtId="17" fontId="0" fillId="37" borderId="45" xfId="0" applyNumberFormat="1" applyFont="1" applyFill="1" applyBorder="1" applyAlignment="1">
      <alignment vertical="center"/>
    </xf>
    <xf numFmtId="17" fontId="0" fillId="37" borderId="46" xfId="0" applyNumberFormat="1" applyFont="1" applyFill="1" applyBorder="1" applyAlignment="1">
      <alignment vertical="center"/>
    </xf>
    <xf numFmtId="17" fontId="0" fillId="39" borderId="0" xfId="0" applyNumberFormat="1" applyFont="1" applyFill="1" applyAlignment="1">
      <alignment horizontal="center" vertical="center"/>
    </xf>
    <xf numFmtId="17" fontId="0" fillId="37" borderId="52" xfId="0" applyNumberFormat="1" applyFont="1" applyFill="1" applyBorder="1" applyAlignment="1">
      <alignment horizontal="center" vertic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watsonel\Temporary%20Internet%20Files\OLK5\Car%20Rental%20Market%20Sha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"/>
      <sheetName val="1999 retail"/>
      <sheetName val="1999 Wholesale"/>
      <sheetName val="2000 Retail"/>
      <sheetName val="2000 wholesale"/>
      <sheetName val="Monthly Comparisons"/>
      <sheetName val="Monthly Comparisons per pax"/>
      <sheetName val="Monthly Comparisons  % Change"/>
      <sheetName val="Total Car"/>
      <sheetName val="Retail"/>
      <sheetName val="Wholesale"/>
      <sheetName val="Reformatted car rental numbers"/>
    </sheetNames>
    <sheetDataSet>
      <sheetData sheetId="0">
        <row r="8">
          <cell r="C8">
            <v>509651.92</v>
          </cell>
          <cell r="D8">
            <v>38791.51</v>
          </cell>
          <cell r="E8">
            <v>7931.75</v>
          </cell>
          <cell r="F8">
            <v>1239469</v>
          </cell>
          <cell r="G8">
            <v>0</v>
          </cell>
          <cell r="H8">
            <v>10942.07</v>
          </cell>
        </row>
        <row r="9">
          <cell r="C9">
            <v>26823.79</v>
          </cell>
          <cell r="D9">
            <v>0</v>
          </cell>
          <cell r="E9">
            <v>0</v>
          </cell>
          <cell r="F9">
            <v>65768.59</v>
          </cell>
          <cell r="G9">
            <v>51082.7</v>
          </cell>
          <cell r="H9">
            <v>0</v>
          </cell>
        </row>
        <row r="10">
          <cell r="C10">
            <v>462626.86</v>
          </cell>
          <cell r="D10">
            <v>23923.5</v>
          </cell>
          <cell r="E10">
            <v>6017.6</v>
          </cell>
          <cell r="F10">
            <v>1331757</v>
          </cell>
          <cell r="G10">
            <v>0</v>
          </cell>
          <cell r="H10">
            <v>16010.58</v>
          </cell>
        </row>
        <row r="11">
          <cell r="C11">
            <v>24348.78</v>
          </cell>
          <cell r="D11">
            <v>0</v>
          </cell>
          <cell r="E11">
            <v>384.99</v>
          </cell>
          <cell r="F11">
            <v>87397.52</v>
          </cell>
          <cell r="G11">
            <v>51658.700000000004</v>
          </cell>
          <cell r="H11">
            <v>0</v>
          </cell>
        </row>
        <row r="12">
          <cell r="C12">
            <v>594166.95</v>
          </cell>
          <cell r="D12">
            <v>40180.08</v>
          </cell>
          <cell r="E12">
            <v>9768.48</v>
          </cell>
          <cell r="F12">
            <v>1301953</v>
          </cell>
          <cell r="G12">
            <v>27486.57</v>
          </cell>
          <cell r="H12">
            <v>11936.67</v>
          </cell>
        </row>
        <row r="13">
          <cell r="C13">
            <v>31271.94</v>
          </cell>
          <cell r="D13">
            <v>0</v>
          </cell>
          <cell r="E13">
            <v>960.73</v>
          </cell>
          <cell r="F13">
            <v>154027.83</v>
          </cell>
          <cell r="G13">
            <v>60834.43</v>
          </cell>
          <cell r="H13">
            <v>0</v>
          </cell>
        </row>
        <row r="14">
          <cell r="C14">
            <v>799820.35</v>
          </cell>
          <cell r="D14">
            <v>32446.43</v>
          </cell>
          <cell r="E14">
            <v>16391.94</v>
          </cell>
          <cell r="F14">
            <v>1770085</v>
          </cell>
          <cell r="G14">
            <v>36315</v>
          </cell>
          <cell r="H14">
            <v>15380.12</v>
          </cell>
        </row>
        <row r="15">
          <cell r="C15">
            <v>42095.81</v>
          </cell>
          <cell r="D15">
            <v>0</v>
          </cell>
          <cell r="E15">
            <v>2117.6</v>
          </cell>
          <cell r="F15">
            <v>139101.71</v>
          </cell>
          <cell r="G15">
            <v>44745.16</v>
          </cell>
          <cell r="H15">
            <v>0</v>
          </cell>
        </row>
        <row r="16">
          <cell r="C16">
            <v>1239823.88</v>
          </cell>
          <cell r="D16">
            <v>78655</v>
          </cell>
          <cell r="E16">
            <v>38143</v>
          </cell>
          <cell r="F16">
            <v>3637775</v>
          </cell>
          <cell r="G16">
            <v>46805.72</v>
          </cell>
          <cell r="H16">
            <v>56977.41</v>
          </cell>
        </row>
        <row r="17">
          <cell r="C17">
            <v>65253.89</v>
          </cell>
          <cell r="D17">
            <v>0</v>
          </cell>
          <cell r="E17">
            <v>2531.07</v>
          </cell>
          <cell r="F17">
            <v>118290.29</v>
          </cell>
          <cell r="G17">
            <v>34308.25</v>
          </cell>
          <cell r="H17">
            <v>0</v>
          </cell>
        </row>
        <row r="18">
          <cell r="C18">
            <v>1440905.4</v>
          </cell>
          <cell r="D18">
            <v>83929.72</v>
          </cell>
          <cell r="E18">
            <v>27438.75</v>
          </cell>
          <cell r="F18">
            <v>4129573</v>
          </cell>
          <cell r="G18">
            <v>107344.94</v>
          </cell>
          <cell r="H18">
            <v>77324.54</v>
          </cell>
        </row>
        <row r="19">
          <cell r="C19">
            <v>75837.13</v>
          </cell>
          <cell r="D19">
            <v>0</v>
          </cell>
          <cell r="E19">
            <v>4172.15</v>
          </cell>
          <cell r="F19">
            <v>124869.51</v>
          </cell>
          <cell r="G19">
            <v>11212.38</v>
          </cell>
          <cell r="H19">
            <v>898.61</v>
          </cell>
        </row>
        <row r="20">
          <cell r="C20">
            <v>1657613.35</v>
          </cell>
          <cell r="D20">
            <v>98499.76</v>
          </cell>
          <cell r="E20">
            <v>33063.02</v>
          </cell>
          <cell r="F20">
            <v>4372399</v>
          </cell>
          <cell r="G20">
            <v>115428.88</v>
          </cell>
          <cell r="H20">
            <v>101702.85</v>
          </cell>
        </row>
        <row r="21">
          <cell r="C21">
            <v>87242.81</v>
          </cell>
          <cell r="D21">
            <v>0</v>
          </cell>
          <cell r="E21">
            <v>7217.22</v>
          </cell>
          <cell r="F21">
            <v>149284.51</v>
          </cell>
          <cell r="G21">
            <v>51550.41</v>
          </cell>
          <cell r="H21">
            <v>929.96</v>
          </cell>
        </row>
        <row r="22">
          <cell r="C22">
            <v>1616944.16</v>
          </cell>
          <cell r="D22">
            <v>82295.62</v>
          </cell>
          <cell r="E22">
            <v>18537.59</v>
          </cell>
          <cell r="F22">
            <v>4937309</v>
          </cell>
          <cell r="G22">
            <v>143358.16</v>
          </cell>
          <cell r="H22">
            <v>80023</v>
          </cell>
        </row>
        <row r="23">
          <cell r="C23">
            <v>85102.32</v>
          </cell>
          <cell r="D23">
            <v>0</v>
          </cell>
          <cell r="E23">
            <v>4668.3</v>
          </cell>
          <cell r="F23">
            <v>95790.47</v>
          </cell>
          <cell r="G23">
            <v>51127.47</v>
          </cell>
          <cell r="H23">
            <v>39.99</v>
          </cell>
        </row>
        <row r="24">
          <cell r="C24">
            <v>1768907.96</v>
          </cell>
          <cell r="D24">
            <v>67261.9</v>
          </cell>
          <cell r="E24">
            <v>32939.47</v>
          </cell>
          <cell r="F24">
            <v>4294951</v>
          </cell>
          <cell r="G24">
            <v>83674.1</v>
          </cell>
          <cell r="H24">
            <v>102593</v>
          </cell>
        </row>
        <row r="25">
          <cell r="C25">
            <v>93100.42</v>
          </cell>
          <cell r="D25">
            <v>0</v>
          </cell>
          <cell r="E25">
            <v>9514.87</v>
          </cell>
          <cell r="F25">
            <v>94743.98</v>
          </cell>
          <cell r="G25">
            <v>42140.38</v>
          </cell>
          <cell r="H25">
            <v>498.96</v>
          </cell>
        </row>
        <row r="26">
          <cell r="C26">
            <v>1639766.8</v>
          </cell>
          <cell r="D26">
            <v>70632.88</v>
          </cell>
          <cell r="E26">
            <v>33959.87</v>
          </cell>
          <cell r="F26">
            <v>3536266</v>
          </cell>
          <cell r="G26">
            <v>60196.5</v>
          </cell>
          <cell r="H26">
            <v>83320</v>
          </cell>
        </row>
        <row r="27">
          <cell r="C27">
            <v>86303.52</v>
          </cell>
          <cell r="D27">
            <v>0</v>
          </cell>
          <cell r="E27">
            <v>12652.65</v>
          </cell>
          <cell r="F27">
            <v>104307.75</v>
          </cell>
          <cell r="G27">
            <v>58048.51</v>
          </cell>
          <cell r="H27">
            <v>2030.83</v>
          </cell>
        </row>
        <row r="28">
          <cell r="C28">
            <v>757702.75</v>
          </cell>
          <cell r="D28">
            <v>38714.99</v>
          </cell>
          <cell r="E28">
            <v>13446.07</v>
          </cell>
          <cell r="F28">
            <v>1545697</v>
          </cell>
          <cell r="G28">
            <v>53618.85</v>
          </cell>
          <cell r="H28">
            <v>29955</v>
          </cell>
        </row>
        <row r="29">
          <cell r="C29">
            <v>45462.16</v>
          </cell>
          <cell r="D29">
            <v>0</v>
          </cell>
          <cell r="E29">
            <v>5406.19</v>
          </cell>
          <cell r="F29">
            <v>117765.79</v>
          </cell>
          <cell r="G29">
            <v>49586.07</v>
          </cell>
          <cell r="H29">
            <v>884.91</v>
          </cell>
        </row>
        <row r="30">
          <cell r="C30">
            <v>628139.77</v>
          </cell>
          <cell r="D30">
            <v>47423.21</v>
          </cell>
          <cell r="E30">
            <v>9904.37</v>
          </cell>
          <cell r="F30">
            <v>1132369</v>
          </cell>
          <cell r="G30">
            <v>42359.64</v>
          </cell>
          <cell r="H30">
            <v>13540</v>
          </cell>
        </row>
        <row r="31">
          <cell r="C31">
            <v>33059.99</v>
          </cell>
          <cell r="D31">
            <v>0</v>
          </cell>
          <cell r="E31">
            <v>7982.16</v>
          </cell>
          <cell r="F31">
            <v>90166.89</v>
          </cell>
          <cell r="G31">
            <v>70896.87</v>
          </cell>
          <cell r="H31">
            <v>1311.92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" sqref="O3"/>
    </sheetView>
  </sheetViews>
  <sheetFormatPr defaultColWidth="9.140625" defaultRowHeight="12.75"/>
  <cols>
    <col min="1" max="1" width="10.00390625" style="0" customWidth="1"/>
    <col min="2" max="2" width="10.7109375" style="0" customWidth="1"/>
    <col min="3" max="3" width="15.7109375" style="0" customWidth="1"/>
    <col min="4" max="4" width="15.7109375" style="0" bestFit="1" customWidth="1"/>
    <col min="5" max="5" width="15.421875" style="0" bestFit="1" customWidth="1"/>
    <col min="6" max="6" width="16.8515625" style="0" bestFit="1" customWidth="1"/>
    <col min="7" max="7" width="14.421875" style="0" customWidth="1"/>
    <col min="8" max="9" width="15.421875" style="0" bestFit="1" customWidth="1"/>
    <col min="10" max="10" width="15.7109375" style="0" bestFit="1" customWidth="1"/>
    <col min="11" max="11" width="12.00390625" style="0" customWidth="1"/>
    <col min="12" max="12" width="12.7109375" style="0" bestFit="1" customWidth="1"/>
    <col min="13" max="13" width="14.421875" style="0" bestFit="1" customWidth="1"/>
    <col min="14" max="14" width="15.7109375" style="0" bestFit="1" customWidth="1"/>
    <col min="15" max="15" width="20.140625" style="0" bestFit="1" customWidth="1"/>
    <col min="16" max="16" width="14.8515625" style="0" customWidth="1"/>
    <col min="17" max="17" width="11.28125" style="0" customWidth="1"/>
    <col min="19" max="19" width="13.8515625" style="0" customWidth="1"/>
    <col min="20" max="21" width="11.28125" style="0" customWidth="1"/>
    <col min="22" max="22" width="13.8515625" style="0" customWidth="1"/>
    <col min="23" max="23" width="12.8515625" style="0" customWidth="1"/>
    <col min="24" max="24" width="11.28125" style="0" customWidth="1"/>
    <col min="25" max="25" width="13.8515625" style="0" customWidth="1"/>
  </cols>
  <sheetData>
    <row r="1" spans="1:2" ht="15.75">
      <c r="A1" s="1" t="s">
        <v>12</v>
      </c>
      <c r="B1" s="2"/>
    </row>
    <row r="2" spans="1:3" ht="12.75">
      <c r="A2" s="3" t="s">
        <v>13</v>
      </c>
      <c r="B2" s="16"/>
      <c r="C2" s="17"/>
    </row>
    <row r="5" spans="1:14" ht="13.5" thickBot="1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34</v>
      </c>
      <c r="H5" s="4" t="s">
        <v>20</v>
      </c>
      <c r="I5" s="4" t="s">
        <v>4</v>
      </c>
      <c r="J5" s="4" t="s">
        <v>110</v>
      </c>
      <c r="K5" s="4" t="s">
        <v>113</v>
      </c>
      <c r="L5" s="4" t="s">
        <v>30</v>
      </c>
      <c r="M5" s="4" t="s">
        <v>5</v>
      </c>
      <c r="N5" s="4" t="s">
        <v>6</v>
      </c>
    </row>
    <row r="6" spans="1:14" ht="12.75">
      <c r="A6" s="540">
        <v>36161</v>
      </c>
      <c r="B6" s="49" t="s">
        <v>7</v>
      </c>
      <c r="C6" s="72">
        <v>577134</v>
      </c>
      <c r="D6" s="72">
        <v>30736.2</v>
      </c>
      <c r="E6" s="72">
        <v>12664</v>
      </c>
      <c r="F6" s="72">
        <v>1383689</v>
      </c>
      <c r="G6" s="72"/>
      <c r="H6" s="72"/>
      <c r="I6" s="96">
        <v>4305</v>
      </c>
      <c r="J6" s="96">
        <v>0</v>
      </c>
      <c r="K6" s="96"/>
      <c r="L6" s="96"/>
      <c r="M6" s="50">
        <v>18694</v>
      </c>
      <c r="N6" s="5">
        <f aca="true" t="shared" si="0" ref="N6:N17">SUM(C6:M6)</f>
        <v>2027222.2</v>
      </c>
    </row>
    <row r="7" spans="1:25" ht="13.5" thickBot="1">
      <c r="A7" s="541"/>
      <c r="B7" s="51" t="s">
        <v>8</v>
      </c>
      <c r="C7" s="73">
        <v>29101</v>
      </c>
      <c r="D7" s="73">
        <v>0</v>
      </c>
      <c r="E7" s="73">
        <v>1102</v>
      </c>
      <c r="F7" s="73">
        <v>43504</v>
      </c>
      <c r="G7" s="73"/>
      <c r="H7" s="73"/>
      <c r="I7" s="97">
        <v>1984</v>
      </c>
      <c r="J7" s="97"/>
      <c r="K7" s="97"/>
      <c r="L7" s="97"/>
      <c r="M7" s="52">
        <v>0</v>
      </c>
      <c r="N7" s="5">
        <f t="shared" si="0"/>
        <v>75691</v>
      </c>
      <c r="O7" s="6">
        <f>SUM(N6:N7)</f>
        <v>2102913.2</v>
      </c>
      <c r="S7" s="7"/>
      <c r="T7" s="7"/>
      <c r="U7" s="7"/>
      <c r="V7" s="7"/>
      <c r="W7" s="7"/>
      <c r="X7" s="7"/>
      <c r="Y7" s="6"/>
    </row>
    <row r="8" spans="1:25" ht="12.75">
      <c r="A8" s="535">
        <v>36526</v>
      </c>
      <c r="B8" s="53" t="s">
        <v>7</v>
      </c>
      <c r="C8" s="74">
        <f>'[1]2000'!C8</f>
        <v>509651.92</v>
      </c>
      <c r="D8" s="74">
        <f>'[1]2000'!D8</f>
        <v>38791.51</v>
      </c>
      <c r="E8" s="74">
        <f>'[1]2000'!E8</f>
        <v>7931.75</v>
      </c>
      <c r="F8" s="74">
        <f>'[1]2000'!F8</f>
        <v>1239469</v>
      </c>
      <c r="G8" s="74"/>
      <c r="H8" s="74"/>
      <c r="I8" s="98">
        <f>'[1]2000'!G8</f>
        <v>0</v>
      </c>
      <c r="J8" s="98"/>
      <c r="K8" s="98"/>
      <c r="L8" s="98"/>
      <c r="M8" s="54">
        <f>'[1]2000'!H8</f>
        <v>10942.07</v>
      </c>
      <c r="N8" s="8">
        <f t="shared" si="0"/>
        <v>1806786.25</v>
      </c>
      <c r="S8" s="7"/>
      <c r="T8" s="7"/>
      <c r="U8" s="7"/>
      <c r="V8" s="7"/>
      <c r="W8" s="7"/>
      <c r="X8" s="7"/>
      <c r="Y8" s="6"/>
    </row>
    <row r="9" spans="1:25" ht="13.5" thickBot="1">
      <c r="A9" s="535"/>
      <c r="B9" s="55" t="s">
        <v>8</v>
      </c>
      <c r="C9" s="75">
        <f>'[1]2000'!C9</f>
        <v>26823.79</v>
      </c>
      <c r="D9" s="75">
        <f>'[1]2000'!D9</f>
        <v>0</v>
      </c>
      <c r="E9" s="75">
        <f>'[1]2000'!E9</f>
        <v>0</v>
      </c>
      <c r="F9" s="75">
        <f>'[1]2000'!F9</f>
        <v>65768.59</v>
      </c>
      <c r="G9" s="75"/>
      <c r="H9" s="75"/>
      <c r="I9" s="99">
        <f>'[1]2000'!G9</f>
        <v>51082.7</v>
      </c>
      <c r="J9" s="99"/>
      <c r="K9" s="99"/>
      <c r="L9" s="99"/>
      <c r="M9" s="56">
        <f>'[1]2000'!H9</f>
        <v>0</v>
      </c>
      <c r="N9" s="8">
        <f t="shared" si="0"/>
        <v>143675.08000000002</v>
      </c>
      <c r="O9" s="6">
        <f>SUM(N8:N9)</f>
        <v>1950461.33</v>
      </c>
      <c r="S9" s="7"/>
      <c r="T9" s="7"/>
      <c r="U9" s="7"/>
      <c r="V9" s="7"/>
      <c r="W9" s="7"/>
      <c r="X9" s="7"/>
      <c r="Y9" s="6"/>
    </row>
    <row r="10" spans="1:25" ht="12.75">
      <c r="A10" s="497">
        <f>A8+366</f>
        <v>36892</v>
      </c>
      <c r="B10" s="57" t="s">
        <v>7</v>
      </c>
      <c r="C10" s="76">
        <v>512365.97</v>
      </c>
      <c r="D10" s="76">
        <v>33403.1</v>
      </c>
      <c r="E10" s="76">
        <v>5329.11</v>
      </c>
      <c r="F10" s="76">
        <v>1167825</v>
      </c>
      <c r="G10" s="76"/>
      <c r="H10" s="76"/>
      <c r="I10" s="100">
        <v>6184.37</v>
      </c>
      <c r="J10" s="100"/>
      <c r="K10" s="100"/>
      <c r="L10" s="100"/>
      <c r="M10" s="58">
        <v>16045.04</v>
      </c>
      <c r="N10" s="9">
        <f t="shared" si="0"/>
        <v>1741152.59</v>
      </c>
      <c r="S10" s="7"/>
      <c r="T10" s="7"/>
      <c r="U10" s="7"/>
      <c r="V10" s="7"/>
      <c r="W10" s="7"/>
      <c r="X10" s="7"/>
      <c r="Y10" s="6"/>
    </row>
    <row r="11" spans="1:25" ht="13.5" thickBot="1">
      <c r="A11" s="497"/>
      <c r="B11" s="59" t="s">
        <v>8</v>
      </c>
      <c r="C11" s="77">
        <v>26966.63</v>
      </c>
      <c r="D11" s="77">
        <f>D9</f>
        <v>0</v>
      </c>
      <c r="E11" s="77">
        <v>8978.68</v>
      </c>
      <c r="F11" s="77">
        <v>101300.07</v>
      </c>
      <c r="G11" s="77"/>
      <c r="H11" s="77"/>
      <c r="I11" s="10">
        <v>59156.01</v>
      </c>
      <c r="J11" s="10"/>
      <c r="K11" s="10"/>
      <c r="L11" s="10"/>
      <c r="M11" s="60">
        <v>4182.07</v>
      </c>
      <c r="N11" s="9">
        <f t="shared" si="0"/>
        <v>200583.46000000002</v>
      </c>
      <c r="O11" s="6">
        <f>SUM(N10:N11)</f>
        <v>1941736.05</v>
      </c>
      <c r="S11" s="7"/>
      <c r="T11" s="7"/>
      <c r="U11" s="7"/>
      <c r="V11" s="7"/>
      <c r="W11" s="7"/>
      <c r="X11" s="7"/>
      <c r="Y11" s="6"/>
    </row>
    <row r="12" spans="1:25" ht="12.75">
      <c r="A12" s="534">
        <v>37258</v>
      </c>
      <c r="B12" s="61" t="s">
        <v>7</v>
      </c>
      <c r="C12" s="78">
        <v>365769.03</v>
      </c>
      <c r="D12" s="78">
        <v>14440.08</v>
      </c>
      <c r="E12" s="78">
        <v>636.51</v>
      </c>
      <c r="F12" s="78">
        <v>721047.49</v>
      </c>
      <c r="G12" s="78"/>
      <c r="H12" s="78"/>
      <c r="I12" s="101">
        <v>3327.18</v>
      </c>
      <c r="J12" s="101"/>
      <c r="K12" s="101"/>
      <c r="L12" s="101"/>
      <c r="M12" s="62">
        <v>6948.9</v>
      </c>
      <c r="N12" s="18">
        <f t="shared" si="0"/>
        <v>1112169.19</v>
      </c>
      <c r="O12" s="6"/>
      <c r="S12" s="7"/>
      <c r="T12" s="7"/>
      <c r="U12" s="7"/>
      <c r="V12" s="7"/>
      <c r="W12" s="7"/>
      <c r="X12" s="7"/>
      <c r="Y12" s="6"/>
    </row>
    <row r="13" spans="1:25" ht="13.5" thickBot="1">
      <c r="A13" s="534"/>
      <c r="B13" s="63" t="s">
        <v>8</v>
      </c>
      <c r="C13" s="79">
        <v>19251</v>
      </c>
      <c r="D13" s="79">
        <v>80911.45</v>
      </c>
      <c r="E13" s="79">
        <v>1284.59</v>
      </c>
      <c r="F13" s="79">
        <v>97734.64</v>
      </c>
      <c r="G13" s="79"/>
      <c r="H13" s="79"/>
      <c r="I13" s="21">
        <v>83160.12</v>
      </c>
      <c r="J13" s="21"/>
      <c r="K13" s="21"/>
      <c r="L13" s="21"/>
      <c r="M13" s="64">
        <v>6370.06</v>
      </c>
      <c r="N13" s="18">
        <f t="shared" si="0"/>
        <v>288711.86</v>
      </c>
      <c r="O13" s="6">
        <f>SUM(N12:N13)</f>
        <v>1400881.0499999998</v>
      </c>
      <c r="S13" s="7"/>
      <c r="T13" s="7"/>
      <c r="U13" s="7"/>
      <c r="V13" s="7"/>
      <c r="W13" s="7"/>
      <c r="X13" s="7"/>
      <c r="Y13" s="6"/>
    </row>
    <row r="14" spans="1:25" ht="12.75">
      <c r="A14" s="519">
        <v>37622</v>
      </c>
      <c r="B14" s="65" t="s">
        <v>7</v>
      </c>
      <c r="C14" s="80">
        <v>175432.7</v>
      </c>
      <c r="D14" s="80">
        <v>20783.86</v>
      </c>
      <c r="E14" s="80">
        <v>0</v>
      </c>
      <c r="F14" s="80">
        <v>653985.12</v>
      </c>
      <c r="G14" s="80"/>
      <c r="H14" s="80"/>
      <c r="I14" s="102">
        <v>18308.75</v>
      </c>
      <c r="J14" s="102"/>
      <c r="K14" s="102"/>
      <c r="L14" s="102"/>
      <c r="M14" s="66">
        <v>5291.48</v>
      </c>
      <c r="N14" s="48">
        <f t="shared" si="0"/>
        <v>873801.9099999999</v>
      </c>
      <c r="O14" s="6"/>
      <c r="S14" s="7"/>
      <c r="T14" s="7"/>
      <c r="U14" s="7"/>
      <c r="V14" s="7"/>
      <c r="W14" s="7"/>
      <c r="X14" s="7"/>
      <c r="Y14" s="6"/>
    </row>
    <row r="15" spans="1:25" ht="13.5" thickBot="1">
      <c r="A15" s="520"/>
      <c r="B15" s="213" t="s">
        <v>8</v>
      </c>
      <c r="C15" s="124">
        <v>82299.81</v>
      </c>
      <c r="D15" s="124">
        <v>87164.49</v>
      </c>
      <c r="E15" s="124">
        <v>20978.58</v>
      </c>
      <c r="F15" s="124">
        <v>68538.28</v>
      </c>
      <c r="G15" s="124"/>
      <c r="H15" s="124">
        <v>13864.24</v>
      </c>
      <c r="I15" s="125">
        <v>81472</v>
      </c>
      <c r="J15" s="125"/>
      <c r="K15" s="125"/>
      <c r="L15" s="125"/>
      <c r="M15" s="126">
        <v>12256.5</v>
      </c>
      <c r="N15" s="48">
        <f t="shared" si="0"/>
        <v>366573.9</v>
      </c>
      <c r="O15" s="6">
        <f>SUM(N14:N15)</f>
        <v>1240375.81</v>
      </c>
      <c r="S15" s="7"/>
      <c r="T15" s="7"/>
      <c r="U15" s="7"/>
      <c r="V15" s="7"/>
      <c r="W15" s="7"/>
      <c r="X15" s="7"/>
      <c r="Y15" s="6"/>
    </row>
    <row r="16" spans="1:25" ht="12.75">
      <c r="A16" s="543" t="s">
        <v>22</v>
      </c>
      <c r="B16" s="214" t="s">
        <v>7</v>
      </c>
      <c r="C16" s="215">
        <v>306061.82</v>
      </c>
      <c r="D16" s="215">
        <v>32944.17</v>
      </c>
      <c r="E16" s="215">
        <v>0</v>
      </c>
      <c r="F16" s="215">
        <f>84359.75+1098427.93</f>
        <v>1182787.68</v>
      </c>
      <c r="G16" s="215"/>
      <c r="H16" s="215"/>
      <c r="I16" s="216">
        <v>29180.5</v>
      </c>
      <c r="J16" s="216"/>
      <c r="K16" s="216"/>
      <c r="L16" s="216"/>
      <c r="M16" s="217">
        <v>16546.73</v>
      </c>
      <c r="N16" s="218">
        <f t="shared" si="0"/>
        <v>1567520.9</v>
      </c>
      <c r="O16" s="6"/>
      <c r="S16" s="7"/>
      <c r="T16" s="7"/>
      <c r="U16" s="7"/>
      <c r="V16" s="7"/>
      <c r="W16" s="7"/>
      <c r="X16" s="7"/>
      <c r="Y16" s="6"/>
    </row>
    <row r="17" spans="1:25" ht="13.5" thickBot="1">
      <c r="A17" s="524"/>
      <c r="B17" s="219" t="s">
        <v>8</v>
      </c>
      <c r="C17" s="220">
        <v>250341.09</v>
      </c>
      <c r="D17" s="220">
        <v>180238.55</v>
      </c>
      <c r="E17" s="220">
        <v>72054.84</v>
      </c>
      <c r="F17" s="220">
        <f>184589.89</f>
        <v>184589.89</v>
      </c>
      <c r="G17" s="220"/>
      <c r="H17" s="220">
        <v>30392.35</v>
      </c>
      <c r="I17" s="221">
        <v>247442.06</v>
      </c>
      <c r="J17" s="221"/>
      <c r="K17" s="221"/>
      <c r="L17" s="221"/>
      <c r="M17" s="222">
        <v>13485.66</v>
      </c>
      <c r="N17" s="218">
        <f t="shared" si="0"/>
        <v>978544.4400000001</v>
      </c>
      <c r="O17" s="6">
        <f>SUM(N16:N17)</f>
        <v>2546065.34</v>
      </c>
      <c r="S17" s="7"/>
      <c r="T17" s="7"/>
      <c r="U17" s="7"/>
      <c r="V17" s="7"/>
      <c r="W17" s="7"/>
      <c r="X17" s="7"/>
      <c r="Y17" s="6"/>
    </row>
    <row r="18" spans="1:25" ht="12.75">
      <c r="A18" s="542" t="s">
        <v>32</v>
      </c>
      <c r="B18" s="274" t="s">
        <v>7</v>
      </c>
      <c r="C18" s="275">
        <v>210371.82</v>
      </c>
      <c r="D18" s="275">
        <v>33359.52</v>
      </c>
      <c r="E18" s="275"/>
      <c r="F18" s="275">
        <f>45172.24+1245663.83</f>
        <v>1290836.07</v>
      </c>
      <c r="G18" s="275"/>
      <c r="H18" s="275"/>
      <c r="I18" s="276">
        <v>40860.39</v>
      </c>
      <c r="J18" s="276"/>
      <c r="K18" s="276"/>
      <c r="L18" s="276"/>
      <c r="M18" s="277">
        <v>11568.36</v>
      </c>
      <c r="N18" s="273">
        <f aca="true" t="shared" si="1" ref="N18:N23">SUM(C18:M18)</f>
        <v>1586996.1600000001</v>
      </c>
      <c r="O18" s="6"/>
      <c r="S18" s="7"/>
      <c r="T18" s="7"/>
      <c r="U18" s="7"/>
      <c r="V18" s="7"/>
      <c r="W18" s="7"/>
      <c r="X18" s="7"/>
      <c r="Y18" s="6"/>
    </row>
    <row r="19" spans="1:25" ht="13.5" thickBot="1">
      <c r="A19" s="518"/>
      <c r="B19" s="278" t="s">
        <v>8</v>
      </c>
      <c r="C19" s="279">
        <v>167290.08</v>
      </c>
      <c r="D19" s="279">
        <v>103924.15</v>
      </c>
      <c r="E19" s="279">
        <v>44485.1</v>
      </c>
      <c r="F19" s="279">
        <f>127594.74</f>
        <v>127594.74</v>
      </c>
      <c r="G19" s="279"/>
      <c r="H19" s="279">
        <v>53464.52</v>
      </c>
      <c r="I19" s="280">
        <v>152091.15</v>
      </c>
      <c r="J19" s="280"/>
      <c r="K19" s="280"/>
      <c r="L19" s="280">
        <v>37448</v>
      </c>
      <c r="M19" s="281">
        <v>14851.03</v>
      </c>
      <c r="N19" s="273">
        <f t="shared" si="1"/>
        <v>701148.77</v>
      </c>
      <c r="O19" s="6">
        <f>SUM(N18:N19)</f>
        <v>2288144.93</v>
      </c>
      <c r="S19" s="7"/>
      <c r="T19" s="7"/>
      <c r="U19" s="7"/>
      <c r="V19" s="7"/>
      <c r="W19" s="7"/>
      <c r="X19" s="7"/>
      <c r="Y19" s="6"/>
    </row>
    <row r="20" spans="1:25" ht="12.75">
      <c r="A20" s="544" t="s">
        <v>37</v>
      </c>
      <c r="B20" s="289" t="s">
        <v>7</v>
      </c>
      <c r="C20" s="290">
        <f>226599.35</f>
        <v>226599.35</v>
      </c>
      <c r="D20" s="290">
        <f>32378.26</f>
        <v>32378.26</v>
      </c>
      <c r="E20" s="290"/>
      <c r="F20" s="290">
        <f>18655.19+882285.26</f>
        <v>900940.45</v>
      </c>
      <c r="G20" s="290">
        <f>1887.82</f>
        <v>1887.82</v>
      </c>
      <c r="H20" s="290"/>
      <c r="I20" s="291">
        <v>15809.94</v>
      </c>
      <c r="J20" s="291"/>
      <c r="K20" s="291"/>
      <c r="L20" s="291"/>
      <c r="M20" s="292">
        <v>8879.45</v>
      </c>
      <c r="N20" s="293">
        <f t="shared" si="1"/>
        <v>1186495.27</v>
      </c>
      <c r="O20" s="6"/>
      <c r="S20" s="7"/>
      <c r="T20" s="7"/>
      <c r="U20" s="7"/>
      <c r="V20" s="7"/>
      <c r="W20" s="7"/>
      <c r="X20" s="7"/>
      <c r="Y20" s="6"/>
    </row>
    <row r="21" spans="1:25" ht="13.5" thickBot="1">
      <c r="A21" s="528"/>
      <c r="B21" s="294" t="s">
        <v>8</v>
      </c>
      <c r="C21" s="295">
        <f>398591.59+72634.04+-19929.58</f>
        <v>451296.05</v>
      </c>
      <c r="D21" s="295">
        <f>100959.31</f>
        <v>100959.31</v>
      </c>
      <c r="E21" s="295">
        <v>45944.85</v>
      </c>
      <c r="F21" s="295">
        <f>120773.35</f>
        <v>120773.35</v>
      </c>
      <c r="G21" s="295">
        <f>60895.23</f>
        <v>60895.23</v>
      </c>
      <c r="H21" s="295">
        <f>149873.45</f>
        <v>149873.45</v>
      </c>
      <c r="I21" s="297">
        <v>118869.8</v>
      </c>
      <c r="J21" s="297"/>
      <c r="K21" s="297"/>
      <c r="L21" s="297">
        <v>14902</v>
      </c>
      <c r="M21" s="298">
        <v>7571.17</v>
      </c>
      <c r="N21" s="293">
        <f t="shared" si="1"/>
        <v>1071085.21</v>
      </c>
      <c r="O21" s="6">
        <f>SUM(N20:N21)</f>
        <v>2257580.48</v>
      </c>
      <c r="S21" s="7"/>
      <c r="T21" s="7"/>
      <c r="U21" s="7"/>
      <c r="V21" s="7"/>
      <c r="W21" s="7"/>
      <c r="X21" s="7"/>
      <c r="Y21" s="6"/>
    </row>
    <row r="22" spans="1:25" ht="12.75">
      <c r="A22" s="502" t="s">
        <v>40</v>
      </c>
      <c r="B22" s="305" t="s">
        <v>7</v>
      </c>
      <c r="C22" s="306">
        <f>296393.76</f>
        <v>296393.76</v>
      </c>
      <c r="D22" s="306">
        <f>1078.79</f>
        <v>1078.79</v>
      </c>
      <c r="E22" s="306">
        <v>0</v>
      </c>
      <c r="F22" s="306">
        <f>14011.26+1025279.82</f>
        <v>1039291.08</v>
      </c>
      <c r="G22" s="306">
        <f>235.83</f>
        <v>235.83</v>
      </c>
      <c r="H22" s="306">
        <f>0</f>
        <v>0</v>
      </c>
      <c r="I22" s="307">
        <f>49595.73</f>
        <v>49595.73</v>
      </c>
      <c r="J22" s="307"/>
      <c r="K22" s="307"/>
      <c r="L22" s="307">
        <v>0</v>
      </c>
      <c r="M22" s="308">
        <f>15815.49</f>
        <v>15815.49</v>
      </c>
      <c r="N22" s="304">
        <f t="shared" si="1"/>
        <v>1402410.68</v>
      </c>
      <c r="O22" s="6"/>
      <c r="S22" s="7"/>
      <c r="T22" s="7"/>
      <c r="U22" s="7"/>
      <c r="V22" s="7"/>
      <c r="W22" s="7"/>
      <c r="X22" s="7"/>
      <c r="Y22" s="6"/>
    </row>
    <row r="23" spans="1:25" ht="13.5" thickBot="1">
      <c r="A23" s="503"/>
      <c r="B23" s="313" t="s">
        <v>8</v>
      </c>
      <c r="C23" s="309">
        <f>567565.26-28378.26</f>
        <v>539187</v>
      </c>
      <c r="D23" s="309">
        <f>249417.89</f>
        <v>249417.89</v>
      </c>
      <c r="E23" s="310">
        <f>67221.61</f>
        <v>67221.61</v>
      </c>
      <c r="F23" s="309">
        <f>139033.4</f>
        <v>139033.4</v>
      </c>
      <c r="G23" s="309">
        <f>83993.19</f>
        <v>83993.19</v>
      </c>
      <c r="H23" s="309">
        <f>154013.93</f>
        <v>154013.93</v>
      </c>
      <c r="I23" s="311">
        <f>195721.73</f>
        <v>195721.73</v>
      </c>
      <c r="J23" s="311"/>
      <c r="K23" s="311"/>
      <c r="L23" s="311">
        <v>0</v>
      </c>
      <c r="M23" s="312">
        <f>7658.63</f>
        <v>7658.63</v>
      </c>
      <c r="N23" s="304">
        <f t="shared" si="1"/>
        <v>1436247.38</v>
      </c>
      <c r="O23" s="6">
        <f>SUM(N22:N23)</f>
        <v>2838658.0599999996</v>
      </c>
      <c r="S23" s="7"/>
      <c r="T23" s="7"/>
      <c r="U23" s="7"/>
      <c r="V23" s="7"/>
      <c r="W23" s="7"/>
      <c r="X23" s="7"/>
      <c r="Y23" s="6"/>
    </row>
    <row r="24" spans="1:25" ht="12.75">
      <c r="A24" s="511" t="s">
        <v>53</v>
      </c>
      <c r="B24" s="318" t="s">
        <v>7</v>
      </c>
      <c r="C24" s="319">
        <v>211623.39</v>
      </c>
      <c r="D24" s="319">
        <v>5412.9</v>
      </c>
      <c r="E24" s="319">
        <v>0</v>
      </c>
      <c r="F24" s="319">
        <f>9614.06+972533.81</f>
        <v>982147.8700000001</v>
      </c>
      <c r="G24" s="319">
        <f>2320.79</f>
        <v>2320.79</v>
      </c>
      <c r="H24" s="319">
        <v>0</v>
      </c>
      <c r="I24" s="320">
        <v>62613.27</v>
      </c>
      <c r="J24" s="320"/>
      <c r="K24" s="320"/>
      <c r="L24" s="320">
        <v>0</v>
      </c>
      <c r="M24" s="321">
        <v>3803.8</v>
      </c>
      <c r="N24" s="322">
        <f>SUM(B24:M24)</f>
        <v>1267922.0200000003</v>
      </c>
      <c r="O24" s="6"/>
      <c r="S24" s="7"/>
      <c r="T24" s="7"/>
      <c r="U24" s="7"/>
      <c r="V24" s="7"/>
      <c r="W24" s="7"/>
      <c r="X24" s="7"/>
      <c r="Y24" s="6"/>
    </row>
    <row r="25" spans="1:25" ht="13.5" thickBot="1">
      <c r="A25" s="512"/>
      <c r="B25" s="323" t="s">
        <v>8</v>
      </c>
      <c r="C25" s="324">
        <v>689204.27</v>
      </c>
      <c r="D25" s="324">
        <v>178856.78</v>
      </c>
      <c r="E25" s="325">
        <v>96371.18</v>
      </c>
      <c r="F25" s="324">
        <f>107569.66</f>
        <v>107569.66</v>
      </c>
      <c r="G25" s="324">
        <f>86112.24</f>
        <v>86112.24</v>
      </c>
      <c r="H25" s="324">
        <v>333850.29</v>
      </c>
      <c r="I25" s="326">
        <v>165137.97</v>
      </c>
      <c r="J25" s="326"/>
      <c r="K25" s="326"/>
      <c r="L25" s="326">
        <v>0</v>
      </c>
      <c r="M25" s="327">
        <v>12011.4</v>
      </c>
      <c r="N25" s="322">
        <f>SUM(B25:M25)</f>
        <v>1669113.7899999998</v>
      </c>
      <c r="O25" s="6">
        <f>SUM(N24:N25)</f>
        <v>2937035.81</v>
      </c>
      <c r="S25" s="7"/>
      <c r="T25" s="7"/>
      <c r="U25" s="7"/>
      <c r="V25" s="7"/>
      <c r="W25" s="7"/>
      <c r="X25" s="7"/>
      <c r="Y25" s="6"/>
    </row>
    <row r="26" spans="1:25" ht="12.75">
      <c r="A26" s="532" t="s">
        <v>67</v>
      </c>
      <c r="B26" s="333" t="s">
        <v>7</v>
      </c>
      <c r="C26" s="334">
        <v>125017.73</v>
      </c>
      <c r="D26" s="334">
        <v>221.8</v>
      </c>
      <c r="E26" s="334"/>
      <c r="F26" s="334">
        <f>7974.78+270243.33</f>
        <v>278218.11000000004</v>
      </c>
      <c r="G26" s="334">
        <v>6505.8</v>
      </c>
      <c r="H26" s="334">
        <v>0</v>
      </c>
      <c r="I26" s="335">
        <v>23437.59</v>
      </c>
      <c r="J26" s="335"/>
      <c r="K26" s="335">
        <v>0</v>
      </c>
      <c r="L26" s="335">
        <v>0</v>
      </c>
      <c r="M26" s="336">
        <v>0</v>
      </c>
      <c r="N26" s="337">
        <f>SUM(B26:M26)</f>
        <v>433401.03</v>
      </c>
      <c r="O26" s="6"/>
      <c r="S26" s="7"/>
      <c r="T26" s="7"/>
      <c r="U26" s="7"/>
      <c r="V26" s="7"/>
      <c r="W26" s="7"/>
      <c r="X26" s="7"/>
      <c r="Y26" s="6"/>
    </row>
    <row r="27" spans="1:25" ht="13.5" thickBot="1">
      <c r="A27" s="533"/>
      <c r="B27" s="338" t="s">
        <v>8</v>
      </c>
      <c r="C27" s="339">
        <v>686480.33</v>
      </c>
      <c r="D27" s="339">
        <v>175508.81</v>
      </c>
      <c r="E27" s="340">
        <v>158436.05</v>
      </c>
      <c r="F27" s="339">
        <f>149830.99</f>
        <v>149830.99</v>
      </c>
      <c r="G27" s="339">
        <v>106874.9</v>
      </c>
      <c r="H27" s="339">
        <v>333276.39</v>
      </c>
      <c r="I27" s="341">
        <v>162872.5</v>
      </c>
      <c r="J27" s="341"/>
      <c r="K27" s="341">
        <v>672</v>
      </c>
      <c r="L27" s="341">
        <v>0</v>
      </c>
      <c r="M27" s="342">
        <v>0</v>
      </c>
      <c r="N27" s="337">
        <f>SUM(B27:M27)</f>
        <v>1773951.9699999997</v>
      </c>
      <c r="O27" s="6">
        <f>SUM(N26:N27)</f>
        <v>2207353</v>
      </c>
      <c r="S27" s="7"/>
      <c r="T27" s="7"/>
      <c r="U27" s="7"/>
      <c r="V27" s="7"/>
      <c r="W27" s="7"/>
      <c r="X27" s="7"/>
      <c r="Y27" s="6"/>
    </row>
    <row r="28" spans="1:25" ht="12.75">
      <c r="A28" s="506" t="s">
        <v>82</v>
      </c>
      <c r="B28" s="347" t="s">
        <v>7</v>
      </c>
      <c r="C28" s="348">
        <v>205446.76</v>
      </c>
      <c r="D28" s="348">
        <v>0</v>
      </c>
      <c r="E28" s="348">
        <v>0</v>
      </c>
      <c r="F28" s="348">
        <f>11914.63+37770.72</f>
        <v>49685.35</v>
      </c>
      <c r="G28" s="348">
        <f>4355.49</f>
        <v>4355.49</v>
      </c>
      <c r="H28" s="348">
        <v>0</v>
      </c>
      <c r="I28" s="349">
        <v>22555.42</v>
      </c>
      <c r="J28" s="349"/>
      <c r="K28" s="349">
        <v>0</v>
      </c>
      <c r="L28" s="349">
        <v>0</v>
      </c>
      <c r="M28" s="350">
        <v>0</v>
      </c>
      <c r="N28" s="351">
        <f aca="true" t="shared" si="2" ref="N28:N33">SUM(C28:M28)</f>
        <v>282043.02</v>
      </c>
      <c r="O28" s="6"/>
      <c r="S28" s="7"/>
      <c r="T28" s="7"/>
      <c r="U28" s="7"/>
      <c r="V28" s="7"/>
      <c r="W28" s="7"/>
      <c r="X28" s="7"/>
      <c r="Y28" s="6"/>
    </row>
    <row r="29" spans="1:25" ht="13.5" thickBot="1">
      <c r="A29" s="507" t="s">
        <v>82</v>
      </c>
      <c r="B29" s="352" t="s">
        <v>8</v>
      </c>
      <c r="C29" s="353">
        <v>1102289.98</v>
      </c>
      <c r="D29" s="353">
        <v>121561.3</v>
      </c>
      <c r="E29" s="354">
        <v>144048.45</v>
      </c>
      <c r="F29" s="353">
        <f>149388.23</f>
        <v>149388.23</v>
      </c>
      <c r="G29" s="353">
        <f>128360.47</f>
        <v>128360.47</v>
      </c>
      <c r="H29" s="353">
        <v>234237.32</v>
      </c>
      <c r="I29" s="355">
        <v>123781.17</v>
      </c>
      <c r="J29" s="355"/>
      <c r="K29" s="355">
        <v>1170.21</v>
      </c>
      <c r="L29" s="355">
        <v>0</v>
      </c>
      <c r="M29" s="356">
        <v>0</v>
      </c>
      <c r="N29" s="351">
        <f t="shared" si="2"/>
        <v>2004837.13</v>
      </c>
      <c r="O29" s="6">
        <f>SUM(N28:N29)</f>
        <v>2286880.15</v>
      </c>
      <c r="S29" s="7"/>
      <c r="T29" s="7"/>
      <c r="U29" s="7"/>
      <c r="V29" s="7"/>
      <c r="W29" s="7"/>
      <c r="X29" s="7"/>
      <c r="Y29" s="6"/>
    </row>
    <row r="30" spans="1:25" ht="12.75">
      <c r="A30" s="513" t="s">
        <v>95</v>
      </c>
      <c r="B30" s="357" t="s">
        <v>7</v>
      </c>
      <c r="C30" s="358">
        <v>294862.58</v>
      </c>
      <c r="D30" s="358">
        <v>-7.5</v>
      </c>
      <c r="E30" s="358">
        <v>0</v>
      </c>
      <c r="F30" s="358">
        <f>19741.42+59351.17</f>
        <v>79092.59</v>
      </c>
      <c r="G30" s="358">
        <v>13505.54</v>
      </c>
      <c r="H30" s="358">
        <v>0</v>
      </c>
      <c r="I30" s="359">
        <v>17580.41</v>
      </c>
      <c r="J30" s="359"/>
      <c r="K30" s="359">
        <v>0</v>
      </c>
      <c r="L30" s="359">
        <v>0</v>
      </c>
      <c r="M30" s="360">
        <v>0</v>
      </c>
      <c r="N30" s="361">
        <f t="shared" si="2"/>
        <v>405033.62</v>
      </c>
      <c r="O30" s="6"/>
      <c r="S30" s="7"/>
      <c r="T30" s="7"/>
      <c r="U30" s="7"/>
      <c r="V30" s="7"/>
      <c r="W30" s="7"/>
      <c r="X30" s="7"/>
      <c r="Y30" s="6"/>
    </row>
    <row r="31" spans="1:25" ht="13.5" thickBot="1">
      <c r="A31" s="514" t="s">
        <v>82</v>
      </c>
      <c r="B31" s="362" t="s">
        <v>8</v>
      </c>
      <c r="C31" s="363">
        <v>747618.67</v>
      </c>
      <c r="D31" s="363">
        <v>94505.67</v>
      </c>
      <c r="E31" s="364">
        <v>117816.01</v>
      </c>
      <c r="F31" s="363">
        <f>111980.25</f>
        <v>111980.25</v>
      </c>
      <c r="G31" s="363">
        <v>88971.04</v>
      </c>
      <c r="H31" s="363">
        <v>216821.41</v>
      </c>
      <c r="I31" s="365">
        <v>94981.35</v>
      </c>
      <c r="J31" s="365"/>
      <c r="K31" s="365">
        <v>540</v>
      </c>
      <c r="L31" s="365">
        <v>0</v>
      </c>
      <c r="M31" s="366">
        <v>0</v>
      </c>
      <c r="N31" s="361">
        <f t="shared" si="2"/>
        <v>1473234.4000000001</v>
      </c>
      <c r="O31" s="6">
        <f>SUM(N30:N31)</f>
        <v>1878268.02</v>
      </c>
      <c r="S31" s="7"/>
      <c r="T31" s="7"/>
      <c r="U31" s="7"/>
      <c r="V31" s="7"/>
      <c r="W31" s="7"/>
      <c r="X31" s="7"/>
      <c r="Y31" s="6"/>
    </row>
    <row r="32" spans="1:14" ht="12.75">
      <c r="A32" s="525">
        <v>40909</v>
      </c>
      <c r="B32" s="367" t="s">
        <v>7</v>
      </c>
      <c r="C32" s="368">
        <v>474641.91</v>
      </c>
      <c r="D32" s="368">
        <v>0</v>
      </c>
      <c r="E32" s="368">
        <v>0</v>
      </c>
      <c r="F32" s="368">
        <f>54778.89+37838.61</f>
        <v>92617.5</v>
      </c>
      <c r="G32" s="368">
        <f>15210.71</f>
        <v>15210.71</v>
      </c>
      <c r="H32" s="368">
        <v>0</v>
      </c>
      <c r="I32" s="369">
        <v>16390.12</v>
      </c>
      <c r="J32" s="369"/>
      <c r="K32" s="369">
        <v>0</v>
      </c>
      <c r="L32" s="369">
        <v>0</v>
      </c>
      <c r="M32" s="370">
        <v>0</v>
      </c>
      <c r="N32" s="371">
        <f t="shared" si="2"/>
        <v>598860.2399999999</v>
      </c>
    </row>
    <row r="33" spans="1:25" ht="13.5" thickBot="1">
      <c r="A33" s="526"/>
      <c r="B33" s="372" t="s">
        <v>8</v>
      </c>
      <c r="C33" s="373">
        <v>1083386.08</v>
      </c>
      <c r="D33" s="373">
        <v>167481.65</v>
      </c>
      <c r="E33" s="373">
        <v>218633.82</v>
      </c>
      <c r="F33" s="373">
        <f>180130.96</f>
        <v>180130.96</v>
      </c>
      <c r="G33" s="373">
        <f>142903.92</f>
        <v>142903.92</v>
      </c>
      <c r="H33" s="373">
        <v>315973.54</v>
      </c>
      <c r="I33" s="374">
        <v>164145.25</v>
      </c>
      <c r="J33" s="374"/>
      <c r="K33" s="374">
        <v>239.82</v>
      </c>
      <c r="L33" s="374">
        <v>0</v>
      </c>
      <c r="M33" s="375">
        <v>0</v>
      </c>
      <c r="N33" s="371">
        <f t="shared" si="2"/>
        <v>2272895.0399999996</v>
      </c>
      <c r="O33" s="6">
        <f>SUM(N32:N33)</f>
        <v>2871755.2799999993</v>
      </c>
      <c r="S33" s="7"/>
      <c r="T33" s="7"/>
      <c r="U33" s="7"/>
      <c r="V33" s="7"/>
      <c r="W33" s="7"/>
      <c r="X33" s="7"/>
      <c r="Y33" s="6"/>
    </row>
    <row r="34" spans="1:25" ht="12.75">
      <c r="A34" s="521">
        <v>41275</v>
      </c>
      <c r="B34" s="390" t="s">
        <v>7</v>
      </c>
      <c r="C34" s="391">
        <v>506138.19</v>
      </c>
      <c r="D34" s="391">
        <v>0</v>
      </c>
      <c r="E34" s="391">
        <v>0</v>
      </c>
      <c r="F34" s="391">
        <f>57720.92+39605.47</f>
        <v>97326.39</v>
      </c>
      <c r="G34" s="391">
        <v>10226.62</v>
      </c>
      <c r="H34" s="391">
        <v>0</v>
      </c>
      <c r="I34" s="392">
        <v>33468.29</v>
      </c>
      <c r="J34" s="392">
        <v>0</v>
      </c>
      <c r="K34" s="392">
        <v>0</v>
      </c>
      <c r="L34" s="392">
        <v>0</v>
      </c>
      <c r="M34" s="393">
        <v>0</v>
      </c>
      <c r="N34" s="394">
        <f>SUM(C34:M34)</f>
        <v>647159.49</v>
      </c>
      <c r="S34" s="7"/>
      <c r="T34" s="7"/>
      <c r="U34" s="7"/>
      <c r="V34" s="7"/>
      <c r="W34" s="7"/>
      <c r="X34" s="7"/>
      <c r="Y34" s="6"/>
    </row>
    <row r="35" spans="1:25" ht="13.5" thickBot="1">
      <c r="A35" s="531"/>
      <c r="B35" s="395" t="s">
        <v>8</v>
      </c>
      <c r="C35" s="396">
        <v>1257161.94</v>
      </c>
      <c r="D35" s="396">
        <v>189555.26</v>
      </c>
      <c r="E35" s="396">
        <v>203366.68</v>
      </c>
      <c r="F35" s="396">
        <f>223166.87</f>
        <v>223166.87</v>
      </c>
      <c r="G35" s="396">
        <v>144130.63</v>
      </c>
      <c r="H35" s="396">
        <v>346260.26</v>
      </c>
      <c r="I35" s="397">
        <v>224529.12</v>
      </c>
      <c r="J35" s="397">
        <f>4998.42+63417.43</f>
        <v>68415.85</v>
      </c>
      <c r="K35" s="397">
        <v>1574.23</v>
      </c>
      <c r="L35" s="397">
        <v>0</v>
      </c>
      <c r="M35" s="398">
        <v>0</v>
      </c>
      <c r="N35" s="394">
        <f>SUM(C35:M35)</f>
        <v>2658160.84</v>
      </c>
      <c r="O35" s="6">
        <f>SUM(N34:N35)</f>
        <v>3305320.33</v>
      </c>
      <c r="S35" s="7"/>
      <c r="T35" s="7"/>
      <c r="U35" s="7"/>
      <c r="V35" s="7"/>
      <c r="W35" s="7"/>
      <c r="X35" s="7"/>
      <c r="Y35" s="6"/>
    </row>
    <row r="36" spans="1:25" ht="12.75">
      <c r="A36" s="515">
        <v>41640</v>
      </c>
      <c r="B36" s="403" t="s">
        <v>7</v>
      </c>
      <c r="C36" s="404">
        <v>279494.55</v>
      </c>
      <c r="D36" s="404">
        <v>0</v>
      </c>
      <c r="E36" s="404">
        <v>0</v>
      </c>
      <c r="F36" s="404">
        <f>54959.11+27672.35</f>
        <v>82631.45999999999</v>
      </c>
      <c r="G36" s="404">
        <f>9229.91</f>
        <v>9229.91</v>
      </c>
      <c r="H36" s="404">
        <v>0</v>
      </c>
      <c r="I36" s="405">
        <v>25401.32</v>
      </c>
      <c r="J36" s="405">
        <v>0</v>
      </c>
      <c r="K36" s="405">
        <v>0</v>
      </c>
      <c r="L36" s="405">
        <v>0</v>
      </c>
      <c r="M36" s="406">
        <v>0</v>
      </c>
      <c r="N36" s="407">
        <f aca="true" t="shared" si="3" ref="N36:N43">SUM(C36:M36)</f>
        <v>396757.24</v>
      </c>
      <c r="S36" s="7"/>
      <c r="T36" s="7"/>
      <c r="U36" s="7"/>
      <c r="V36" s="7"/>
      <c r="W36" s="7"/>
      <c r="X36" s="7"/>
      <c r="Y36" s="6"/>
    </row>
    <row r="37" spans="1:25" ht="13.5" thickBot="1">
      <c r="A37" s="516"/>
      <c r="B37" s="408" t="s">
        <v>8</v>
      </c>
      <c r="C37" s="409">
        <v>1688619.11</v>
      </c>
      <c r="D37" s="409">
        <v>195281.38</v>
      </c>
      <c r="E37" s="409">
        <v>280438.39</v>
      </c>
      <c r="F37" s="409">
        <f>227317.94</f>
        <v>227317.94</v>
      </c>
      <c r="G37" s="409">
        <f>143820.65</f>
        <v>143820.65</v>
      </c>
      <c r="H37" s="409">
        <v>407527.28</v>
      </c>
      <c r="I37" s="410">
        <v>224258.58</v>
      </c>
      <c r="J37" s="410">
        <v>88986.66</v>
      </c>
      <c r="K37" s="410">
        <v>1803.13</v>
      </c>
      <c r="L37" s="410">
        <v>0</v>
      </c>
      <c r="M37" s="411">
        <v>0</v>
      </c>
      <c r="N37" s="407">
        <f t="shared" si="3"/>
        <v>3258053.12</v>
      </c>
      <c r="O37" s="6">
        <f>SUM(N36:N37)</f>
        <v>3654810.3600000003</v>
      </c>
      <c r="S37" s="7"/>
      <c r="T37" s="7"/>
      <c r="U37" s="7"/>
      <c r="V37" s="7"/>
      <c r="W37" s="7"/>
      <c r="X37" s="7"/>
      <c r="Y37" s="6"/>
    </row>
    <row r="38" spans="1:25" ht="12.75">
      <c r="A38" s="495" t="s">
        <v>117</v>
      </c>
      <c r="B38" s="416" t="s">
        <v>7</v>
      </c>
      <c r="C38" s="417">
        <f>284702.68+14419.31</f>
        <v>299121.99</v>
      </c>
      <c r="D38" s="417">
        <v>0</v>
      </c>
      <c r="E38" s="417">
        <v>0</v>
      </c>
      <c r="F38" s="417">
        <f>60182.79+38275.12</f>
        <v>98457.91</v>
      </c>
      <c r="G38" s="417">
        <v>30847.26</v>
      </c>
      <c r="H38" s="417">
        <v>0</v>
      </c>
      <c r="I38" s="418">
        <v>36555.47</v>
      </c>
      <c r="J38" s="418">
        <v>0</v>
      </c>
      <c r="K38" s="418">
        <v>0</v>
      </c>
      <c r="L38" s="418">
        <v>0</v>
      </c>
      <c r="M38" s="419">
        <v>0</v>
      </c>
      <c r="N38" s="420">
        <f t="shared" si="3"/>
        <v>464982.63</v>
      </c>
      <c r="O38" s="6"/>
      <c r="S38" s="7"/>
      <c r="T38" s="7"/>
      <c r="U38" s="7"/>
      <c r="V38" s="7"/>
      <c r="W38" s="7"/>
      <c r="X38" s="7"/>
      <c r="Y38" s="6"/>
    </row>
    <row r="39" spans="1:25" ht="13.5" thickBot="1">
      <c r="A39" s="496"/>
      <c r="B39" s="421" t="s">
        <v>8</v>
      </c>
      <c r="C39" s="422">
        <f>2015282.76+219849.22</f>
        <v>2235131.98</v>
      </c>
      <c r="D39" s="422">
        <v>224273.89</v>
      </c>
      <c r="E39" s="423">
        <v>332540.23</v>
      </c>
      <c r="F39" s="422">
        <f>13853.88+256903.1</f>
        <v>270756.98</v>
      </c>
      <c r="G39" s="422">
        <v>159914.85</v>
      </c>
      <c r="H39" s="422">
        <v>382210.14</v>
      </c>
      <c r="I39" s="424">
        <v>272988.24</v>
      </c>
      <c r="J39" s="424">
        <v>161549.05</v>
      </c>
      <c r="K39" s="424">
        <v>7135.37</v>
      </c>
      <c r="L39" s="424">
        <v>0</v>
      </c>
      <c r="M39" s="425">
        <v>0</v>
      </c>
      <c r="N39" s="420">
        <f t="shared" si="3"/>
        <v>4046500.7300000004</v>
      </c>
      <c r="O39" s="6">
        <f>SUM(N38:N39)</f>
        <v>4511483.36</v>
      </c>
      <c r="S39" s="7"/>
      <c r="T39" s="7"/>
      <c r="U39" s="7"/>
      <c r="V39" s="7"/>
      <c r="W39" s="7"/>
      <c r="X39" s="7"/>
      <c r="Y39" s="6"/>
    </row>
    <row r="40" spans="1:25" ht="12.75">
      <c r="A40" s="511" t="s">
        <v>128</v>
      </c>
      <c r="B40" s="427" t="s">
        <v>7</v>
      </c>
      <c r="C40" s="428">
        <v>195221.41</v>
      </c>
      <c r="D40" s="428">
        <v>0</v>
      </c>
      <c r="E40" s="428">
        <v>0</v>
      </c>
      <c r="F40" s="428">
        <f>3573.84</f>
        <v>3573.84</v>
      </c>
      <c r="G40" s="428">
        <v>0</v>
      </c>
      <c r="H40" s="428">
        <v>0</v>
      </c>
      <c r="I40" s="429">
        <v>14240.18</v>
      </c>
      <c r="J40" s="429">
        <v>0</v>
      </c>
      <c r="K40" s="429">
        <v>0</v>
      </c>
      <c r="L40" s="429">
        <v>0</v>
      </c>
      <c r="M40" s="430">
        <v>0</v>
      </c>
      <c r="N40" s="431">
        <f t="shared" si="3"/>
        <v>213035.43</v>
      </c>
      <c r="O40" s="6"/>
      <c r="S40" s="7"/>
      <c r="T40" s="7"/>
      <c r="U40" s="7"/>
      <c r="V40" s="7"/>
      <c r="W40" s="7"/>
      <c r="X40" s="7"/>
      <c r="Y40" s="6"/>
    </row>
    <row r="41" spans="1:25" ht="13.5" thickBot="1">
      <c r="A41" s="512"/>
      <c r="B41" s="432" t="s">
        <v>8</v>
      </c>
      <c r="C41" s="433">
        <v>1826079.95</v>
      </c>
      <c r="D41" s="435">
        <v>179212.79</v>
      </c>
      <c r="E41" s="434">
        <v>179803.33</v>
      </c>
      <c r="F41" s="433">
        <f>289720.94</f>
        <v>289720.94</v>
      </c>
      <c r="G41" s="433">
        <v>259767.76</v>
      </c>
      <c r="H41" s="433">
        <v>709865.71</v>
      </c>
      <c r="I41" s="435">
        <v>212330.43</v>
      </c>
      <c r="J41" s="435">
        <v>131569.79</v>
      </c>
      <c r="K41" s="435">
        <v>2669.44</v>
      </c>
      <c r="L41" s="435">
        <v>0</v>
      </c>
      <c r="M41" s="436">
        <v>0</v>
      </c>
      <c r="N41" s="431">
        <f t="shared" si="3"/>
        <v>3791020.1399999997</v>
      </c>
      <c r="O41" s="6">
        <f>SUM(N40:N41)</f>
        <v>4004055.57</v>
      </c>
      <c r="S41" s="7"/>
      <c r="T41" s="7"/>
      <c r="U41" s="7"/>
      <c r="V41" s="7"/>
      <c r="W41" s="7"/>
      <c r="X41" s="7"/>
      <c r="Y41" s="6"/>
    </row>
    <row r="42" spans="1:25" ht="12.75">
      <c r="A42" s="500" t="s">
        <v>142</v>
      </c>
      <c r="B42" s="438" t="s">
        <v>7</v>
      </c>
      <c r="C42" s="439">
        <v>200699.81</v>
      </c>
      <c r="D42" s="439"/>
      <c r="E42" s="440"/>
      <c r="F42" s="439">
        <v>33878.32</v>
      </c>
      <c r="G42" s="439">
        <v>18268.27</v>
      </c>
      <c r="H42" s="439"/>
      <c r="I42" s="441">
        <v>12239.75</v>
      </c>
      <c r="J42" s="441">
        <v>0</v>
      </c>
      <c r="K42" s="441"/>
      <c r="L42" s="441"/>
      <c r="M42" s="442"/>
      <c r="N42" s="443">
        <f t="shared" si="3"/>
        <v>265086.15</v>
      </c>
      <c r="O42" s="6"/>
      <c r="S42" s="7"/>
      <c r="T42" s="7"/>
      <c r="U42" s="7"/>
      <c r="V42" s="7"/>
      <c r="W42" s="7"/>
      <c r="X42" s="7"/>
      <c r="Y42" s="6"/>
    </row>
    <row r="43" spans="1:25" ht="13.5" thickBot="1">
      <c r="A43" s="501"/>
      <c r="B43" s="444" t="s">
        <v>8</v>
      </c>
      <c r="C43" s="445">
        <v>2088283.27</v>
      </c>
      <c r="D43" s="445">
        <v>237535.51</v>
      </c>
      <c r="E43" s="446">
        <v>345988.22</v>
      </c>
      <c r="F43" s="445">
        <v>189657.19</v>
      </c>
      <c r="G43" s="445">
        <v>207904.19999999995</v>
      </c>
      <c r="H43" s="445">
        <v>763913.61</v>
      </c>
      <c r="I43" s="447">
        <v>379645.8399999999</v>
      </c>
      <c r="J43" s="447">
        <v>144716.57</v>
      </c>
      <c r="K43" s="447">
        <v>1704.96</v>
      </c>
      <c r="L43" s="447"/>
      <c r="M43" s="448"/>
      <c r="N43" s="443">
        <f t="shared" si="3"/>
        <v>4359349.37</v>
      </c>
      <c r="O43" s="6">
        <f>SUM(N42:N43)</f>
        <v>4624435.5200000005</v>
      </c>
      <c r="S43" s="7"/>
      <c r="T43" s="7"/>
      <c r="U43" s="7"/>
      <c r="V43" s="7"/>
      <c r="W43" s="7"/>
      <c r="X43" s="7"/>
      <c r="Y43" s="6"/>
    </row>
    <row r="44" spans="1:25" ht="12.75">
      <c r="A44" s="508" t="s">
        <v>155</v>
      </c>
      <c r="B44" s="449" t="s">
        <v>7</v>
      </c>
      <c r="C44" s="450">
        <v>220623.97000000003</v>
      </c>
      <c r="D44" s="450">
        <v>0</v>
      </c>
      <c r="E44" s="451">
        <v>0</v>
      </c>
      <c r="F44" s="450">
        <v>36706.729999999996</v>
      </c>
      <c r="G44" s="450">
        <v>37332.27</v>
      </c>
      <c r="H44" s="450">
        <v>0</v>
      </c>
      <c r="I44" s="452">
        <v>5385.05</v>
      </c>
      <c r="J44" s="452">
        <v>0</v>
      </c>
      <c r="K44" s="452">
        <v>0</v>
      </c>
      <c r="L44" s="452">
        <v>0</v>
      </c>
      <c r="M44" s="453">
        <v>0</v>
      </c>
      <c r="N44" s="454">
        <f aca="true" t="shared" si="4" ref="N44:N49">SUM(C44:M44)</f>
        <v>300048.02</v>
      </c>
      <c r="O44" s="6"/>
      <c r="S44" s="7"/>
      <c r="T44" s="7"/>
      <c r="U44" s="7"/>
      <c r="V44" s="7"/>
      <c r="W44" s="7"/>
      <c r="X44" s="7"/>
      <c r="Y44" s="6"/>
    </row>
    <row r="45" spans="1:25" ht="13.5" thickBot="1">
      <c r="A45" s="509"/>
      <c r="B45" s="455" t="s">
        <v>8</v>
      </c>
      <c r="C45" s="456">
        <v>2523361.399999997</v>
      </c>
      <c r="D45" s="456">
        <v>247987.91</v>
      </c>
      <c r="E45" s="457">
        <v>442653.13</v>
      </c>
      <c r="F45" s="456">
        <v>298780.29</v>
      </c>
      <c r="G45" s="456">
        <v>186359.64</v>
      </c>
      <c r="H45" s="456">
        <v>729476.75</v>
      </c>
      <c r="I45" s="458">
        <v>375079.98</v>
      </c>
      <c r="J45" s="458">
        <v>89302.84</v>
      </c>
      <c r="K45" s="458">
        <v>4747.99</v>
      </c>
      <c r="L45" s="458">
        <v>0</v>
      </c>
      <c r="M45" s="459">
        <v>0</v>
      </c>
      <c r="N45" s="454">
        <f t="shared" si="4"/>
        <v>4897749.929999998</v>
      </c>
      <c r="O45" s="6">
        <f>SUM(N44:N45)</f>
        <v>5197797.949999997</v>
      </c>
      <c r="S45" s="7"/>
      <c r="T45" s="7"/>
      <c r="U45" s="7"/>
      <c r="V45" s="7"/>
      <c r="W45" s="7"/>
      <c r="X45" s="7"/>
      <c r="Y45" s="6"/>
    </row>
    <row r="46" spans="1:25" ht="12.75">
      <c r="A46" s="498" t="s">
        <v>170</v>
      </c>
      <c r="B46" s="462" t="s">
        <v>7</v>
      </c>
      <c r="C46" s="463">
        <v>177151</v>
      </c>
      <c r="D46" s="463">
        <v>0</v>
      </c>
      <c r="E46" s="464">
        <v>0</v>
      </c>
      <c r="F46" s="463">
        <v>13466.61</v>
      </c>
      <c r="G46" s="463">
        <v>14325.32</v>
      </c>
      <c r="H46" s="463">
        <v>0</v>
      </c>
      <c r="I46" s="465">
        <v>490.73</v>
      </c>
      <c r="J46" s="465">
        <v>0</v>
      </c>
      <c r="K46" s="465">
        <v>0</v>
      </c>
      <c r="L46" s="465">
        <v>0</v>
      </c>
      <c r="M46" s="466">
        <v>0</v>
      </c>
      <c r="N46" s="467">
        <f t="shared" si="4"/>
        <v>205433.66</v>
      </c>
      <c r="O46" s="6"/>
      <c r="S46" s="7"/>
      <c r="T46" s="7"/>
      <c r="U46" s="7"/>
      <c r="V46" s="7"/>
      <c r="W46" s="7"/>
      <c r="X46" s="7"/>
      <c r="Y46" s="6"/>
    </row>
    <row r="47" spans="1:25" ht="13.5" thickBot="1">
      <c r="A47" s="499"/>
      <c r="B47" s="468" t="s">
        <v>8</v>
      </c>
      <c r="C47" s="469">
        <v>2269364.47</v>
      </c>
      <c r="D47" s="469">
        <v>224621.85</v>
      </c>
      <c r="E47" s="470">
        <v>450902.74</v>
      </c>
      <c r="F47" s="469">
        <v>179307.3</v>
      </c>
      <c r="G47" s="469">
        <v>201399.83</v>
      </c>
      <c r="H47" s="469">
        <v>708055.53</v>
      </c>
      <c r="I47" s="471">
        <v>356522.47</v>
      </c>
      <c r="J47" s="471">
        <v>21364.86</v>
      </c>
      <c r="K47" s="471">
        <v>1031.04</v>
      </c>
      <c r="L47" s="471">
        <v>0</v>
      </c>
      <c r="M47" s="472">
        <v>0</v>
      </c>
      <c r="N47" s="467">
        <f t="shared" si="4"/>
        <v>4412570.090000001</v>
      </c>
      <c r="O47" s="6">
        <f>SUM(N46:N47)</f>
        <v>4618003.750000001</v>
      </c>
      <c r="S47" s="7"/>
      <c r="T47" s="7"/>
      <c r="U47" s="7"/>
      <c r="V47" s="7"/>
      <c r="W47" s="7"/>
      <c r="X47" s="7"/>
      <c r="Y47" s="6"/>
    </row>
    <row r="48" spans="1:25" ht="12.75">
      <c r="A48" s="493" t="s">
        <v>184</v>
      </c>
      <c r="B48" s="473" t="s">
        <v>7</v>
      </c>
      <c r="C48" s="474">
        <v>150256.23000000004</v>
      </c>
      <c r="D48" s="474">
        <v>0</v>
      </c>
      <c r="E48" s="474">
        <v>0</v>
      </c>
      <c r="F48" s="474">
        <v>11716.1</v>
      </c>
      <c r="G48" s="474">
        <v>8095.07</v>
      </c>
      <c r="H48" s="474">
        <v>0</v>
      </c>
      <c r="I48" s="475">
        <v>2212.51</v>
      </c>
      <c r="J48" s="475">
        <v>0</v>
      </c>
      <c r="K48" s="475">
        <v>0</v>
      </c>
      <c r="L48" s="475">
        <v>0</v>
      </c>
      <c r="M48" s="476">
        <v>0</v>
      </c>
      <c r="N48" s="477">
        <f t="shared" si="4"/>
        <v>172279.91000000006</v>
      </c>
      <c r="O48" s="6"/>
      <c r="S48" s="7"/>
      <c r="T48" s="7"/>
      <c r="U48" s="7"/>
      <c r="V48" s="7"/>
      <c r="W48" s="7"/>
      <c r="X48" s="7"/>
      <c r="Y48" s="6"/>
    </row>
    <row r="49" spans="1:25" ht="13.5" thickBot="1">
      <c r="A49" s="494"/>
      <c r="B49" s="478" t="s">
        <v>8</v>
      </c>
      <c r="C49" s="479">
        <v>2492344.9099999946</v>
      </c>
      <c r="D49" s="479">
        <v>423955.84</v>
      </c>
      <c r="E49" s="480">
        <v>413876.54</v>
      </c>
      <c r="F49" s="479">
        <v>173563.66</v>
      </c>
      <c r="G49" s="479">
        <v>236844.18</v>
      </c>
      <c r="H49" s="479">
        <v>764247.55</v>
      </c>
      <c r="I49" s="481">
        <v>420703.92</v>
      </c>
      <c r="J49" s="481">
        <v>0</v>
      </c>
      <c r="K49" s="481">
        <v>3803.57</v>
      </c>
      <c r="L49" s="481">
        <v>0</v>
      </c>
      <c r="M49" s="482">
        <v>0</v>
      </c>
      <c r="N49" s="477">
        <f t="shared" si="4"/>
        <v>4929340.169999995</v>
      </c>
      <c r="O49" s="6">
        <f>SUM(N48:N49)</f>
        <v>5101620.079999995</v>
      </c>
      <c r="S49" s="7"/>
      <c r="T49" s="7"/>
      <c r="U49" s="7"/>
      <c r="V49" s="7"/>
      <c r="W49" s="7"/>
      <c r="X49" s="7"/>
      <c r="Y49" s="6"/>
    </row>
    <row r="50" spans="1:25" ht="12.75">
      <c r="A50" s="538" t="s">
        <v>198</v>
      </c>
      <c r="B50" s="483" t="s">
        <v>7</v>
      </c>
      <c r="C50" s="484">
        <v>0</v>
      </c>
      <c r="D50" s="484">
        <v>0</v>
      </c>
      <c r="E50" s="484">
        <v>0</v>
      </c>
      <c r="F50" s="484">
        <v>757.48</v>
      </c>
      <c r="G50" s="484">
        <v>248.88</v>
      </c>
      <c r="H50" s="484">
        <v>0</v>
      </c>
      <c r="I50" s="485">
        <v>50.58</v>
      </c>
      <c r="J50" s="485">
        <v>0</v>
      </c>
      <c r="K50" s="485">
        <v>0</v>
      </c>
      <c r="L50" s="485">
        <v>0</v>
      </c>
      <c r="M50" s="486">
        <v>0</v>
      </c>
      <c r="N50" s="487">
        <f aca="true" t="shared" si="5" ref="N50:N63">SUM(C50:M50)</f>
        <v>1056.94</v>
      </c>
      <c r="O50" s="6"/>
      <c r="S50" s="7"/>
      <c r="T50" s="7"/>
      <c r="U50" s="7"/>
      <c r="V50" s="7"/>
      <c r="W50" s="7"/>
      <c r="X50" s="7"/>
      <c r="Y50" s="6"/>
    </row>
    <row r="51" spans="1:25" ht="13.5" thickBot="1">
      <c r="A51" s="539"/>
      <c r="B51" s="488" t="s">
        <v>8</v>
      </c>
      <c r="C51" s="489">
        <v>1245652.05</v>
      </c>
      <c r="D51" s="489">
        <v>247071.29</v>
      </c>
      <c r="E51" s="490">
        <v>283568.71</v>
      </c>
      <c r="F51" s="489">
        <v>164664.56</v>
      </c>
      <c r="G51" s="489">
        <v>13863.14</v>
      </c>
      <c r="H51" s="489">
        <v>471442.0500000001</v>
      </c>
      <c r="I51" s="491">
        <v>255047.85</v>
      </c>
      <c r="J51" s="491">
        <v>0</v>
      </c>
      <c r="K51" s="491">
        <v>1657.54</v>
      </c>
      <c r="L51" s="491">
        <v>0</v>
      </c>
      <c r="M51" s="492">
        <v>0</v>
      </c>
      <c r="N51" s="487">
        <f t="shared" si="5"/>
        <v>2682967.1900000004</v>
      </c>
      <c r="O51" s="6">
        <f>SUM(N50:N51)</f>
        <v>2684024.1300000004</v>
      </c>
      <c r="S51" s="7"/>
      <c r="T51" s="7"/>
      <c r="U51" s="7"/>
      <c r="V51" s="7"/>
      <c r="W51" s="7"/>
      <c r="X51" s="7"/>
      <c r="Y51" s="6"/>
    </row>
    <row r="52" spans="1:24" ht="12.75">
      <c r="A52" s="536">
        <v>36192</v>
      </c>
      <c r="B52" s="49" t="s">
        <v>7</v>
      </c>
      <c r="C52" s="72">
        <v>404848</v>
      </c>
      <c r="D52" s="72">
        <v>23308</v>
      </c>
      <c r="E52" s="72">
        <v>3428</v>
      </c>
      <c r="F52" s="72">
        <v>1232633</v>
      </c>
      <c r="G52" s="72"/>
      <c r="H52" s="72"/>
      <c r="I52" s="96">
        <v>3700.8</v>
      </c>
      <c r="J52" s="96"/>
      <c r="K52" s="96"/>
      <c r="L52" s="96"/>
      <c r="M52" s="50">
        <v>28898</v>
      </c>
      <c r="N52" s="5">
        <f t="shared" si="5"/>
        <v>1696815.8</v>
      </c>
      <c r="S52" s="7"/>
      <c r="T52" s="7"/>
      <c r="U52" s="7"/>
      <c r="V52" s="7"/>
      <c r="W52" s="7"/>
      <c r="X52" s="7"/>
    </row>
    <row r="53" spans="1:24" ht="13.5" thickBot="1">
      <c r="A53" s="537"/>
      <c r="B53" s="51" t="s">
        <v>8</v>
      </c>
      <c r="C53" s="73">
        <v>21308</v>
      </c>
      <c r="D53" s="73">
        <v>0</v>
      </c>
      <c r="E53" s="73">
        <v>402.57</v>
      </c>
      <c r="F53" s="73">
        <v>29391</v>
      </c>
      <c r="G53" s="73"/>
      <c r="H53" s="73"/>
      <c r="I53" s="97">
        <v>5525.81</v>
      </c>
      <c r="J53" s="97"/>
      <c r="K53" s="97"/>
      <c r="L53" s="97"/>
      <c r="M53" s="52">
        <v>0</v>
      </c>
      <c r="N53" s="5">
        <f t="shared" si="5"/>
        <v>56627.38</v>
      </c>
      <c r="O53" s="6">
        <f>SUM(N52:N53)</f>
        <v>1753443.18</v>
      </c>
      <c r="S53" s="7"/>
      <c r="T53" s="7"/>
      <c r="U53" s="7"/>
      <c r="V53" s="7"/>
      <c r="W53" s="7"/>
      <c r="X53" s="7"/>
    </row>
    <row r="54" spans="1:25" ht="12.75">
      <c r="A54" s="535">
        <v>36557</v>
      </c>
      <c r="B54" s="53" t="s">
        <v>7</v>
      </c>
      <c r="C54" s="74">
        <f>'[1]2000'!C10</f>
        <v>462626.86</v>
      </c>
      <c r="D54" s="74">
        <f>'[1]2000'!D10</f>
        <v>23923.5</v>
      </c>
      <c r="E54" s="74">
        <f>'[1]2000'!E10</f>
        <v>6017.6</v>
      </c>
      <c r="F54" s="74">
        <f>'[1]2000'!F10</f>
        <v>1331757</v>
      </c>
      <c r="G54" s="74"/>
      <c r="H54" s="74"/>
      <c r="I54" s="98">
        <f>'[1]2000'!G10</f>
        <v>0</v>
      </c>
      <c r="J54" s="98"/>
      <c r="K54" s="98"/>
      <c r="L54" s="98"/>
      <c r="M54" s="54">
        <f>'[1]2000'!H10</f>
        <v>16010.58</v>
      </c>
      <c r="N54" s="8">
        <f t="shared" si="5"/>
        <v>1840335.54</v>
      </c>
      <c r="S54" s="7"/>
      <c r="T54" s="7"/>
      <c r="U54" s="7"/>
      <c r="V54" s="7"/>
      <c r="W54" s="7"/>
      <c r="X54" s="7"/>
      <c r="Y54" s="6"/>
    </row>
    <row r="55" spans="1:25" ht="13.5" thickBot="1">
      <c r="A55" s="535"/>
      <c r="B55" s="55" t="s">
        <v>8</v>
      </c>
      <c r="C55" s="75">
        <f>'[1]2000'!C11</f>
        <v>24348.78</v>
      </c>
      <c r="D55" s="75">
        <f>'[1]2000'!D11</f>
        <v>0</v>
      </c>
      <c r="E55" s="75">
        <f>'[1]2000'!E11</f>
        <v>384.99</v>
      </c>
      <c r="F55" s="75">
        <f>'[1]2000'!F11</f>
        <v>87397.52</v>
      </c>
      <c r="G55" s="75"/>
      <c r="H55" s="75"/>
      <c r="I55" s="99">
        <f>'[1]2000'!G11</f>
        <v>51658.700000000004</v>
      </c>
      <c r="J55" s="99"/>
      <c r="K55" s="99"/>
      <c r="L55" s="99"/>
      <c r="M55" s="56">
        <f>'[1]2000'!H11</f>
        <v>0</v>
      </c>
      <c r="N55" s="8">
        <f t="shared" si="5"/>
        <v>163789.99000000002</v>
      </c>
      <c r="O55" s="6">
        <f>SUM(N54:N55)</f>
        <v>2004125.53</v>
      </c>
      <c r="S55" s="7"/>
      <c r="T55" s="7"/>
      <c r="U55" s="7"/>
      <c r="V55" s="7"/>
      <c r="W55" s="7"/>
      <c r="X55" s="7"/>
      <c r="Y55" s="6"/>
    </row>
    <row r="56" spans="1:25" ht="12.75">
      <c r="A56" s="497">
        <f>A54+366</f>
        <v>36923</v>
      </c>
      <c r="B56" s="57" t="s">
        <v>7</v>
      </c>
      <c r="C56" s="76">
        <v>574318.18</v>
      </c>
      <c r="D56" s="76">
        <v>34802.18</v>
      </c>
      <c r="E56" s="76">
        <v>7103.22</v>
      </c>
      <c r="F56" s="76">
        <v>1246733</v>
      </c>
      <c r="G56" s="76"/>
      <c r="H56" s="76"/>
      <c r="I56" s="100">
        <v>20540.54</v>
      </c>
      <c r="J56" s="100"/>
      <c r="K56" s="100"/>
      <c r="L56" s="100"/>
      <c r="M56" s="58">
        <v>10797.96</v>
      </c>
      <c r="N56" s="9">
        <f t="shared" si="5"/>
        <v>1894295.08</v>
      </c>
      <c r="P56" s="11"/>
      <c r="Q56" s="11"/>
      <c r="S56" s="7"/>
      <c r="T56" s="7"/>
      <c r="U56" s="7"/>
      <c r="V56" s="7"/>
      <c r="W56" s="7"/>
      <c r="X56" s="7"/>
      <c r="Y56" s="6"/>
    </row>
    <row r="57" spans="1:25" ht="13.5" thickBot="1">
      <c r="A57" s="497"/>
      <c r="B57" s="59" t="s">
        <v>8</v>
      </c>
      <c r="C57" s="77">
        <v>30227.27</v>
      </c>
      <c r="D57" s="92">
        <f>D55</f>
        <v>0</v>
      </c>
      <c r="E57" s="77">
        <v>7775.68</v>
      </c>
      <c r="F57" s="77">
        <v>116710.35</v>
      </c>
      <c r="G57" s="77"/>
      <c r="H57" s="77"/>
      <c r="I57" s="10">
        <v>75783.67</v>
      </c>
      <c r="J57" s="10"/>
      <c r="K57" s="10"/>
      <c r="L57" s="10"/>
      <c r="M57" s="60">
        <v>3528.55</v>
      </c>
      <c r="N57" s="9">
        <f t="shared" si="5"/>
        <v>234025.51999999996</v>
      </c>
      <c r="O57" s="6">
        <f>SUM(N56:N57)</f>
        <v>2128320.6</v>
      </c>
      <c r="P57" s="11"/>
      <c r="Q57" s="11"/>
      <c r="S57" s="7"/>
      <c r="T57" s="7"/>
      <c r="U57" s="7"/>
      <c r="V57" s="7"/>
      <c r="W57" s="7"/>
      <c r="X57" s="7"/>
      <c r="Y57" s="6"/>
    </row>
    <row r="58" spans="1:25" ht="12.75">
      <c r="A58" s="534">
        <v>37288</v>
      </c>
      <c r="B58" s="61" t="s">
        <v>7</v>
      </c>
      <c r="C58" s="78">
        <v>362816.94</v>
      </c>
      <c r="D58" s="78">
        <v>5539.93</v>
      </c>
      <c r="E58" s="78">
        <v>0</v>
      </c>
      <c r="F58" s="78">
        <v>749348.2</v>
      </c>
      <c r="G58" s="78"/>
      <c r="H58" s="78"/>
      <c r="I58" s="101">
        <v>1671.18</v>
      </c>
      <c r="J58" s="101"/>
      <c r="K58" s="101"/>
      <c r="L58" s="101"/>
      <c r="M58" s="62">
        <v>9266.1</v>
      </c>
      <c r="N58" s="18">
        <f t="shared" si="5"/>
        <v>1128642.3499999999</v>
      </c>
      <c r="O58" s="6"/>
      <c r="P58" s="11"/>
      <c r="Q58" s="11"/>
      <c r="S58" s="7"/>
      <c r="T58" s="7"/>
      <c r="U58" s="7"/>
      <c r="V58" s="7"/>
      <c r="W58" s="7"/>
      <c r="X58" s="7"/>
      <c r="Y58" s="6"/>
    </row>
    <row r="59" spans="1:25" ht="13.5" thickBot="1">
      <c r="A59" s="534"/>
      <c r="B59" s="63" t="s">
        <v>8</v>
      </c>
      <c r="C59" s="79">
        <v>19095.63</v>
      </c>
      <c r="D59" s="79">
        <v>94238.43</v>
      </c>
      <c r="E59" s="79">
        <v>802.05</v>
      </c>
      <c r="F59" s="79">
        <v>108679.59</v>
      </c>
      <c r="G59" s="79"/>
      <c r="H59" s="79"/>
      <c r="I59" s="21">
        <v>87840.79</v>
      </c>
      <c r="J59" s="21"/>
      <c r="K59" s="21"/>
      <c r="L59" s="21"/>
      <c r="M59" s="64">
        <v>8720.1</v>
      </c>
      <c r="N59" s="18">
        <f t="shared" si="5"/>
        <v>319376.58999999997</v>
      </c>
      <c r="O59" s="6">
        <f>SUM(N58:N59)</f>
        <v>1448018.94</v>
      </c>
      <c r="P59" s="11"/>
      <c r="Q59" s="11"/>
      <c r="S59" s="7"/>
      <c r="T59" s="7"/>
      <c r="U59" s="7"/>
      <c r="V59" s="7"/>
      <c r="W59" s="7"/>
      <c r="X59" s="7"/>
      <c r="Y59" s="6"/>
    </row>
    <row r="60" spans="1:25" ht="12.75">
      <c r="A60" s="519">
        <v>37653</v>
      </c>
      <c r="B60" s="65" t="s">
        <v>7</v>
      </c>
      <c r="C60" s="80">
        <v>133932.35</v>
      </c>
      <c r="D60" s="80">
        <v>25800.43</v>
      </c>
      <c r="E60" s="80">
        <v>0</v>
      </c>
      <c r="F60" s="80">
        <v>592739.24</v>
      </c>
      <c r="G60" s="80"/>
      <c r="H60" s="80"/>
      <c r="I60" s="102">
        <v>0</v>
      </c>
      <c r="J60" s="102"/>
      <c r="K60" s="102"/>
      <c r="L60" s="102"/>
      <c r="M60" s="66">
        <v>2865.24</v>
      </c>
      <c r="N60" s="48">
        <f t="shared" si="5"/>
        <v>755337.26</v>
      </c>
      <c r="O60" s="6"/>
      <c r="P60" s="11"/>
      <c r="Q60" s="11"/>
      <c r="S60" s="7"/>
      <c r="T60" s="7"/>
      <c r="U60" s="7"/>
      <c r="V60" s="7"/>
      <c r="W60" s="7"/>
      <c r="X60" s="7"/>
      <c r="Y60" s="6"/>
    </row>
    <row r="61" spans="1:25" ht="13.5" thickBot="1">
      <c r="A61" s="520"/>
      <c r="B61" s="68" t="s">
        <v>8</v>
      </c>
      <c r="C61" s="81">
        <v>139484.43</v>
      </c>
      <c r="D61" s="81">
        <v>77785.7</v>
      </c>
      <c r="E61" s="127">
        <v>20690.92</v>
      </c>
      <c r="F61" s="81">
        <v>73139.61</v>
      </c>
      <c r="G61" s="81"/>
      <c r="H61" s="81">
        <v>8170.73</v>
      </c>
      <c r="I61" s="103">
        <v>112902.17</v>
      </c>
      <c r="J61" s="103"/>
      <c r="K61" s="103"/>
      <c r="L61" s="103"/>
      <c r="M61" s="69">
        <v>8120.49</v>
      </c>
      <c r="N61" s="48">
        <f t="shared" si="5"/>
        <v>440294.04999999993</v>
      </c>
      <c r="O61" s="6">
        <f>SUM(N60:N61)</f>
        <v>1195631.31</v>
      </c>
      <c r="P61" s="11"/>
      <c r="Q61" s="11"/>
      <c r="S61" s="7"/>
      <c r="T61" s="7"/>
      <c r="U61" s="7"/>
      <c r="V61" s="7"/>
      <c r="W61" s="7"/>
      <c r="X61" s="7"/>
      <c r="Y61" s="6"/>
    </row>
    <row r="62" spans="1:25" ht="12.75">
      <c r="A62" s="523">
        <v>38018</v>
      </c>
      <c r="B62" s="214" t="s">
        <v>7</v>
      </c>
      <c r="C62" s="215">
        <v>312685</v>
      </c>
      <c r="D62" s="215">
        <v>13146.77</v>
      </c>
      <c r="E62" s="215"/>
      <c r="F62" s="215">
        <f>21781.55+741582.12</f>
        <v>763363.67</v>
      </c>
      <c r="G62" s="215"/>
      <c r="H62" s="215"/>
      <c r="I62" s="216">
        <v>10852.68</v>
      </c>
      <c r="J62" s="216"/>
      <c r="K62" s="216"/>
      <c r="L62" s="216"/>
      <c r="M62" s="217">
        <v>17670.8</v>
      </c>
      <c r="N62" s="218">
        <f t="shared" si="5"/>
        <v>1117718.92</v>
      </c>
      <c r="O62" s="6"/>
      <c r="P62" s="11"/>
      <c r="Q62" s="11"/>
      <c r="S62" s="7"/>
      <c r="T62" s="7"/>
      <c r="U62" s="7"/>
      <c r="V62" s="7"/>
      <c r="W62" s="7"/>
      <c r="X62" s="7"/>
      <c r="Y62" s="6"/>
    </row>
    <row r="63" spans="1:25" ht="13.5" thickBot="1">
      <c r="A63" s="524"/>
      <c r="B63" s="223" t="s">
        <v>8</v>
      </c>
      <c r="C63" s="224">
        <v>372537.32</v>
      </c>
      <c r="D63" s="224">
        <v>239434</v>
      </c>
      <c r="E63" s="225">
        <v>164304.55</v>
      </c>
      <c r="F63" s="224">
        <f>224099.85</f>
        <v>224099.85</v>
      </c>
      <c r="G63" s="224"/>
      <c r="H63" s="224">
        <v>61612.65</v>
      </c>
      <c r="I63" s="226">
        <v>346429.18</v>
      </c>
      <c r="J63" s="226"/>
      <c r="K63" s="226"/>
      <c r="L63" s="226"/>
      <c r="M63" s="227">
        <v>18710.4</v>
      </c>
      <c r="N63" s="218">
        <f t="shared" si="5"/>
        <v>1427127.95</v>
      </c>
      <c r="O63" s="6">
        <f>SUM(N62:N63)</f>
        <v>2544846.87</v>
      </c>
      <c r="P63" s="11"/>
      <c r="Q63" s="11"/>
      <c r="S63" s="7"/>
      <c r="T63" s="7"/>
      <c r="U63" s="7"/>
      <c r="V63" s="7"/>
      <c r="W63" s="7"/>
      <c r="X63" s="7"/>
      <c r="Y63" s="6"/>
    </row>
    <row r="64" spans="1:25" ht="12.75">
      <c r="A64" s="517">
        <v>38384</v>
      </c>
      <c r="B64" s="274" t="s">
        <v>7</v>
      </c>
      <c r="C64" s="275">
        <v>279406.9</v>
      </c>
      <c r="D64" s="275">
        <v>22436.73</v>
      </c>
      <c r="E64" s="275"/>
      <c r="F64" s="275">
        <f>5056.93+1024671.56</f>
        <v>1029728.4900000001</v>
      </c>
      <c r="G64" s="275"/>
      <c r="H64" s="275"/>
      <c r="I64" s="276">
        <v>47746.79</v>
      </c>
      <c r="J64" s="276"/>
      <c r="K64" s="276"/>
      <c r="L64" s="276"/>
      <c r="M64" s="277">
        <v>15310.11</v>
      </c>
      <c r="N64" s="273">
        <f aca="true" t="shared" si="6" ref="N64:N69">SUM(C64:M64)</f>
        <v>1394629.0200000003</v>
      </c>
      <c r="O64" s="6"/>
      <c r="P64" s="11"/>
      <c r="Q64" s="11"/>
      <c r="S64" s="7"/>
      <c r="T64" s="7"/>
      <c r="U64" s="7"/>
      <c r="V64" s="7"/>
      <c r="W64" s="7"/>
      <c r="X64" s="7"/>
      <c r="Y64" s="6"/>
    </row>
    <row r="65" spans="1:25" ht="13.5" thickBot="1">
      <c r="A65" s="518"/>
      <c r="B65" s="282" t="s">
        <v>8</v>
      </c>
      <c r="C65" s="283">
        <v>209985.48</v>
      </c>
      <c r="D65" s="283">
        <v>156575.06</v>
      </c>
      <c r="E65" s="284">
        <v>52986.88</v>
      </c>
      <c r="F65" s="283">
        <f>114739.14</f>
        <v>114739.14</v>
      </c>
      <c r="G65" s="283"/>
      <c r="H65" s="283">
        <f>11226.02+105801.74</f>
        <v>117027.76000000001</v>
      </c>
      <c r="I65" s="285">
        <v>195746.8</v>
      </c>
      <c r="J65" s="285"/>
      <c r="K65" s="285"/>
      <c r="L65" s="285">
        <v>36402</v>
      </c>
      <c r="M65" s="286">
        <v>7455.91</v>
      </c>
      <c r="N65" s="273">
        <f t="shared" si="6"/>
        <v>890919.0300000001</v>
      </c>
      <c r="O65" s="6">
        <f>SUM(N64:N65)</f>
        <v>2285548.0500000003</v>
      </c>
      <c r="P65" s="11"/>
      <c r="Q65" s="11"/>
      <c r="S65" s="7"/>
      <c r="T65" s="7"/>
      <c r="U65" s="7"/>
      <c r="V65" s="7"/>
      <c r="W65" s="7"/>
      <c r="X65" s="7"/>
      <c r="Y65" s="6"/>
    </row>
    <row r="66" spans="1:25" ht="12.75">
      <c r="A66" s="527">
        <v>38749</v>
      </c>
      <c r="B66" s="289" t="s">
        <v>7</v>
      </c>
      <c r="C66" s="290">
        <v>182445.74</v>
      </c>
      <c r="D66" s="290">
        <v>1828.61</v>
      </c>
      <c r="E66" s="290"/>
      <c r="F66" s="290">
        <f>2790.67+854838.4</f>
        <v>857629.0700000001</v>
      </c>
      <c r="G66" s="290"/>
      <c r="H66" s="290"/>
      <c r="I66" s="291">
        <v>8242.57</v>
      </c>
      <c r="J66" s="291"/>
      <c r="K66" s="291"/>
      <c r="L66" s="291">
        <v>0</v>
      </c>
      <c r="M66" s="292">
        <v>10822.29</v>
      </c>
      <c r="N66" s="293">
        <f t="shared" si="6"/>
        <v>1060968.28</v>
      </c>
      <c r="O66" s="6"/>
      <c r="P66" s="11"/>
      <c r="Q66" s="11"/>
      <c r="S66" s="7"/>
      <c r="T66" s="7"/>
      <c r="U66" s="7"/>
      <c r="V66" s="7"/>
      <c r="W66" s="7"/>
      <c r="X66" s="7"/>
      <c r="Y66" s="6"/>
    </row>
    <row r="67" spans="1:25" ht="13.5" thickBot="1">
      <c r="A67" s="528"/>
      <c r="B67" s="299" t="s">
        <v>8</v>
      </c>
      <c r="C67" s="300">
        <v>506844.91</v>
      </c>
      <c r="D67" s="300">
        <v>171928.94</v>
      </c>
      <c r="E67" s="301">
        <v>50741.77</v>
      </c>
      <c r="F67" s="300">
        <f>123186.38</f>
        <v>123186.38</v>
      </c>
      <c r="G67" s="300">
        <v>73860.33</v>
      </c>
      <c r="H67" s="300">
        <v>169287.11</v>
      </c>
      <c r="I67" s="302">
        <v>134836.94</v>
      </c>
      <c r="J67" s="302"/>
      <c r="K67" s="302"/>
      <c r="L67" s="302">
        <v>0</v>
      </c>
      <c r="M67" s="303">
        <v>9718.46</v>
      </c>
      <c r="N67" s="293">
        <f t="shared" si="6"/>
        <v>1240404.8399999999</v>
      </c>
      <c r="O67" s="6">
        <f>SUM(N66:N67)</f>
        <v>2301373.12</v>
      </c>
      <c r="P67" s="11"/>
      <c r="Q67" s="11"/>
      <c r="S67" s="7"/>
      <c r="T67" s="7"/>
      <c r="U67" s="7"/>
      <c r="V67" s="7"/>
      <c r="W67" s="7"/>
      <c r="X67" s="7"/>
      <c r="Y67" s="6"/>
    </row>
    <row r="68" spans="1:25" ht="12.75">
      <c r="A68" s="502" t="s">
        <v>39</v>
      </c>
      <c r="B68" s="305" t="s">
        <v>7</v>
      </c>
      <c r="C68" s="306">
        <v>259996.9</v>
      </c>
      <c r="D68" s="306">
        <v>-24.72</v>
      </c>
      <c r="E68" s="306">
        <v>0</v>
      </c>
      <c r="F68" s="306">
        <f>7124.06+1041223.7</f>
        <v>1048347.76</v>
      </c>
      <c r="G68" s="306">
        <v>236.57</v>
      </c>
      <c r="H68" s="306"/>
      <c r="I68" s="307">
        <v>51597.25</v>
      </c>
      <c r="J68" s="307"/>
      <c r="K68" s="307"/>
      <c r="L68" s="307">
        <v>0</v>
      </c>
      <c r="M68" s="308">
        <v>9794.63</v>
      </c>
      <c r="N68" s="304">
        <f t="shared" si="6"/>
        <v>1369948.39</v>
      </c>
      <c r="O68" s="6"/>
      <c r="P68" s="11"/>
      <c r="Q68" s="11"/>
      <c r="S68" s="7"/>
      <c r="T68" s="7"/>
      <c r="U68" s="7"/>
      <c r="V68" s="7"/>
      <c r="W68" s="7"/>
      <c r="X68" s="7"/>
      <c r="Y68" s="6"/>
    </row>
    <row r="69" spans="1:25" ht="13.5" thickBot="1">
      <c r="A69" s="503"/>
      <c r="B69" s="313" t="s">
        <v>8</v>
      </c>
      <c r="C69" s="309">
        <f>838721.57-41936.08</f>
        <v>796785.49</v>
      </c>
      <c r="D69" s="309">
        <v>258454.91</v>
      </c>
      <c r="E69" s="310">
        <v>60263.15</v>
      </c>
      <c r="F69" s="309">
        <f>182194.44</f>
        <v>182194.44</v>
      </c>
      <c r="G69" s="309">
        <v>82827.21</v>
      </c>
      <c r="H69" s="309">
        <v>175544.41</v>
      </c>
      <c r="I69" s="311">
        <v>191171.28</v>
      </c>
      <c r="J69" s="311"/>
      <c r="K69" s="311"/>
      <c r="L69" s="311">
        <v>0</v>
      </c>
      <c r="M69" s="312">
        <v>10151.1</v>
      </c>
      <c r="N69" s="304">
        <f t="shared" si="6"/>
        <v>1757391.9899999998</v>
      </c>
      <c r="O69" s="6">
        <f>SUM(N68:N69)</f>
        <v>3127340.38</v>
      </c>
      <c r="P69" s="11"/>
      <c r="Q69" s="11"/>
      <c r="S69" s="7"/>
      <c r="T69" s="7"/>
      <c r="U69" s="7"/>
      <c r="V69" s="7"/>
      <c r="W69" s="7"/>
      <c r="X69" s="7"/>
      <c r="Y69" s="6"/>
    </row>
    <row r="70" spans="1:25" ht="12.75">
      <c r="A70" s="511" t="s">
        <v>54</v>
      </c>
      <c r="B70" s="318" t="s">
        <v>7</v>
      </c>
      <c r="C70" s="319">
        <f>323021.31</f>
        <v>323021.31</v>
      </c>
      <c r="D70" s="319">
        <f>2728.02</f>
        <v>2728.02</v>
      </c>
      <c r="E70" s="319">
        <v>0</v>
      </c>
      <c r="F70" s="319">
        <f>6112.12+853413.76</f>
        <v>859525.88</v>
      </c>
      <c r="G70" s="319">
        <v>711.41</v>
      </c>
      <c r="H70" s="319">
        <v>0</v>
      </c>
      <c r="I70" s="320">
        <v>50374.88</v>
      </c>
      <c r="J70" s="320"/>
      <c r="K70" s="320"/>
      <c r="L70" s="320">
        <v>0</v>
      </c>
      <c r="M70" s="321">
        <v>4951.25</v>
      </c>
      <c r="N70" s="322">
        <f>SUM(B70:M70)</f>
        <v>1241312.7499999998</v>
      </c>
      <c r="O70" s="6"/>
      <c r="S70" s="7"/>
      <c r="T70" s="7"/>
      <c r="U70" s="7"/>
      <c r="V70" s="7"/>
      <c r="W70" s="7"/>
      <c r="X70" s="7"/>
      <c r="Y70" s="6"/>
    </row>
    <row r="71" spans="1:25" ht="13.5" thickBot="1">
      <c r="A71" s="512"/>
      <c r="B71" s="323" t="s">
        <v>8</v>
      </c>
      <c r="C71" s="324">
        <v>1008741.14</v>
      </c>
      <c r="D71" s="324">
        <f>222531.91</f>
        <v>222531.91</v>
      </c>
      <c r="E71" s="325">
        <v>146308.78</v>
      </c>
      <c r="F71" s="324">
        <v>118757.73</v>
      </c>
      <c r="G71" s="324">
        <v>99596.2</v>
      </c>
      <c r="H71" s="324">
        <v>366212.13</v>
      </c>
      <c r="I71" s="326">
        <v>181418.67</v>
      </c>
      <c r="J71" s="326"/>
      <c r="K71" s="326"/>
      <c r="L71" s="326">
        <v>0</v>
      </c>
      <c r="M71" s="327">
        <v>6970.44</v>
      </c>
      <c r="N71" s="322">
        <f>SUM(B71:M71)</f>
        <v>2150537</v>
      </c>
      <c r="O71" s="6">
        <f>SUM(N70:N71)</f>
        <v>3391849.75</v>
      </c>
      <c r="S71" s="7"/>
      <c r="T71" s="7"/>
      <c r="U71" s="7"/>
      <c r="V71" s="7"/>
      <c r="W71" s="7"/>
      <c r="X71" s="7"/>
      <c r="Y71" s="6"/>
    </row>
    <row r="72" spans="1:25" ht="12.75">
      <c r="A72" s="532" t="s">
        <v>66</v>
      </c>
      <c r="B72" s="333" t="s">
        <v>7</v>
      </c>
      <c r="C72" s="334">
        <v>72563.68</v>
      </c>
      <c r="D72" s="334">
        <v>0</v>
      </c>
      <c r="E72" s="334">
        <v>0</v>
      </c>
      <c r="F72" s="334">
        <f>18632.12+208458.13</f>
        <v>227090.25</v>
      </c>
      <c r="G72" s="334">
        <v>4461.19</v>
      </c>
      <c r="H72" s="334">
        <v>0</v>
      </c>
      <c r="I72" s="335">
        <v>23903.99</v>
      </c>
      <c r="J72" s="335"/>
      <c r="K72" s="335">
        <v>0</v>
      </c>
      <c r="L72" s="335">
        <v>0</v>
      </c>
      <c r="M72" s="336">
        <v>0</v>
      </c>
      <c r="N72" s="337">
        <f>SUM(B72:M72)</f>
        <v>328019.11</v>
      </c>
      <c r="O72" s="6"/>
      <c r="S72" s="7"/>
      <c r="T72" s="7"/>
      <c r="U72" s="7"/>
      <c r="V72" s="7"/>
      <c r="W72" s="7"/>
      <c r="X72" s="7"/>
      <c r="Y72" s="6"/>
    </row>
    <row r="73" spans="1:25" ht="13.5" thickBot="1">
      <c r="A73" s="533"/>
      <c r="B73" s="338" t="s">
        <v>8</v>
      </c>
      <c r="C73" s="339">
        <v>1040842.82</v>
      </c>
      <c r="D73" s="339">
        <v>190287.69</v>
      </c>
      <c r="E73" s="340">
        <v>265809.44</v>
      </c>
      <c r="F73" s="339">
        <f>178261.89</f>
        <v>178261.89</v>
      </c>
      <c r="G73" s="339">
        <v>151606.03</v>
      </c>
      <c r="H73" s="339">
        <v>302003.87</v>
      </c>
      <c r="I73" s="341">
        <v>141343.95</v>
      </c>
      <c r="J73" s="341"/>
      <c r="K73" s="341">
        <v>3719.21</v>
      </c>
      <c r="L73" s="341">
        <v>0</v>
      </c>
      <c r="M73" s="342">
        <v>0</v>
      </c>
      <c r="N73" s="337">
        <f>SUM(B73:M73)</f>
        <v>2273874.9</v>
      </c>
      <c r="O73" s="6">
        <f>SUM(N72:N73)</f>
        <v>2601894.01</v>
      </c>
      <c r="S73" s="7"/>
      <c r="T73" s="7"/>
      <c r="U73" s="7"/>
      <c r="V73" s="7"/>
      <c r="W73" s="7"/>
      <c r="X73" s="7"/>
      <c r="Y73" s="6"/>
    </row>
    <row r="74" spans="1:25" ht="12.75">
      <c r="A74" s="506" t="s">
        <v>83</v>
      </c>
      <c r="B74" s="347" t="s">
        <v>7</v>
      </c>
      <c r="C74" s="348">
        <v>197531.45</v>
      </c>
      <c r="D74" s="348">
        <v>645.12</v>
      </c>
      <c r="E74" s="348">
        <v>0</v>
      </c>
      <c r="F74" s="348">
        <f>14167.77+35661.14</f>
        <v>49828.91</v>
      </c>
      <c r="G74" s="348">
        <v>6504.16</v>
      </c>
      <c r="H74" s="348">
        <v>0</v>
      </c>
      <c r="I74" s="349">
        <v>8021.71</v>
      </c>
      <c r="J74" s="349"/>
      <c r="K74" s="349">
        <v>0</v>
      </c>
      <c r="L74" s="349"/>
      <c r="M74" s="350"/>
      <c r="N74" s="351">
        <f aca="true" t="shared" si="7" ref="N74:N79">SUM(C74:M74)</f>
        <v>262531.35000000003</v>
      </c>
      <c r="O74" s="6"/>
      <c r="S74" s="7"/>
      <c r="T74" s="7"/>
      <c r="U74" s="7"/>
      <c r="V74" s="7"/>
      <c r="W74" s="7"/>
      <c r="X74" s="7"/>
      <c r="Y74" s="6"/>
    </row>
    <row r="75" spans="1:25" ht="13.5" thickBot="1">
      <c r="A75" s="507" t="s">
        <v>82</v>
      </c>
      <c r="B75" s="352" t="s">
        <v>8</v>
      </c>
      <c r="C75" s="353">
        <v>1118450.8</v>
      </c>
      <c r="D75" s="353">
        <v>110468.46</v>
      </c>
      <c r="E75" s="354">
        <v>180039.27</v>
      </c>
      <c r="F75" s="353">
        <v>199378.89</v>
      </c>
      <c r="G75" s="353">
        <v>168411.2</v>
      </c>
      <c r="H75" s="353">
        <v>234201.14</v>
      </c>
      <c r="I75" s="355">
        <v>96370.33</v>
      </c>
      <c r="J75" s="355"/>
      <c r="K75" s="355">
        <v>1251.57</v>
      </c>
      <c r="L75" s="355"/>
      <c r="M75" s="356"/>
      <c r="N75" s="351">
        <f t="shared" si="7"/>
        <v>2108571.6599999997</v>
      </c>
      <c r="O75" s="6">
        <f>SUM(N74:N75)</f>
        <v>2371103.01</v>
      </c>
      <c r="S75" s="7"/>
      <c r="T75" s="7"/>
      <c r="U75" s="7"/>
      <c r="V75" s="7"/>
      <c r="W75" s="7"/>
      <c r="X75" s="7"/>
      <c r="Y75" s="6"/>
    </row>
    <row r="76" spans="1:25" ht="12.75">
      <c r="A76" s="513" t="s">
        <v>97</v>
      </c>
      <c r="B76" s="357" t="s">
        <v>7</v>
      </c>
      <c r="C76" s="358">
        <v>184468.23</v>
      </c>
      <c r="D76" s="358">
        <v>721.71</v>
      </c>
      <c r="E76" s="358">
        <v>0</v>
      </c>
      <c r="F76" s="358">
        <f>12313.2+50255.44</f>
        <v>62568.64</v>
      </c>
      <c r="G76" s="358">
        <v>7043.98</v>
      </c>
      <c r="H76" s="358">
        <v>0</v>
      </c>
      <c r="I76" s="359">
        <v>10264.54</v>
      </c>
      <c r="J76" s="359"/>
      <c r="K76" s="359">
        <v>0</v>
      </c>
      <c r="L76" s="359">
        <v>0</v>
      </c>
      <c r="M76" s="360">
        <v>0</v>
      </c>
      <c r="N76" s="361">
        <f t="shared" si="7"/>
        <v>265067.10000000003</v>
      </c>
      <c r="O76" s="6"/>
      <c r="S76" s="7"/>
      <c r="T76" s="7"/>
      <c r="U76" s="7"/>
      <c r="V76" s="7"/>
      <c r="W76" s="7"/>
      <c r="X76" s="7"/>
      <c r="Y76" s="6"/>
    </row>
    <row r="77" spans="1:25" ht="13.5" thickBot="1">
      <c r="A77" s="514" t="s">
        <v>82</v>
      </c>
      <c r="B77" s="362" t="s">
        <v>8</v>
      </c>
      <c r="C77" s="363">
        <v>1018763.34</v>
      </c>
      <c r="D77" s="363">
        <v>122295.78</v>
      </c>
      <c r="E77" s="364">
        <v>143996.49</v>
      </c>
      <c r="F77" s="363">
        <f>139195.84</f>
        <v>139195.84</v>
      </c>
      <c r="G77" s="363">
        <v>123084.07</v>
      </c>
      <c r="H77" s="363">
        <v>279985.08</v>
      </c>
      <c r="I77" s="365">
        <v>119660.11</v>
      </c>
      <c r="J77" s="365"/>
      <c r="K77" s="365">
        <v>3200.09</v>
      </c>
      <c r="L77" s="365">
        <v>0</v>
      </c>
      <c r="M77" s="366">
        <v>0</v>
      </c>
      <c r="N77" s="361">
        <f t="shared" si="7"/>
        <v>1950180.8000000003</v>
      </c>
      <c r="O77" s="6">
        <f>SUM(N76:N77)</f>
        <v>2215247.9000000004</v>
      </c>
      <c r="S77" s="7"/>
      <c r="T77" s="7"/>
      <c r="U77" s="7"/>
      <c r="V77" s="7"/>
      <c r="W77" s="7"/>
      <c r="X77" s="7"/>
      <c r="Y77" s="6"/>
    </row>
    <row r="78" spans="1:14" ht="12.75">
      <c r="A78" s="525">
        <v>40940</v>
      </c>
      <c r="B78" s="367" t="s">
        <v>7</v>
      </c>
      <c r="C78" s="368">
        <v>201146.45</v>
      </c>
      <c r="D78" s="368">
        <v>0</v>
      </c>
      <c r="E78" s="368">
        <v>0</v>
      </c>
      <c r="F78" s="368">
        <f>79038.1+24044.97</f>
        <v>103083.07</v>
      </c>
      <c r="G78" s="368">
        <v>19184.88</v>
      </c>
      <c r="H78" s="368">
        <v>0</v>
      </c>
      <c r="I78" s="369">
        <v>22131.97</v>
      </c>
      <c r="J78" s="369"/>
      <c r="K78" s="369">
        <v>0</v>
      </c>
      <c r="L78" s="369">
        <v>0</v>
      </c>
      <c r="M78" s="370">
        <v>0</v>
      </c>
      <c r="N78" s="371">
        <f t="shared" si="7"/>
        <v>345546.37</v>
      </c>
    </row>
    <row r="79" spans="1:25" ht="13.5" thickBot="1">
      <c r="A79" s="526"/>
      <c r="B79" s="372" t="s">
        <v>8</v>
      </c>
      <c r="C79" s="373">
        <v>1335644.23</v>
      </c>
      <c r="D79" s="373">
        <v>145408.26</v>
      </c>
      <c r="E79" s="373">
        <v>263542.88</v>
      </c>
      <c r="F79" s="373">
        <f>173219.31</f>
        <v>173219.31</v>
      </c>
      <c r="G79" s="373">
        <v>143395.09</v>
      </c>
      <c r="H79" s="373">
        <v>304986.54</v>
      </c>
      <c r="I79" s="374">
        <v>132107.73</v>
      </c>
      <c r="J79" s="374"/>
      <c r="K79" s="374">
        <v>4023.44</v>
      </c>
      <c r="L79" s="374">
        <v>0</v>
      </c>
      <c r="M79" s="375">
        <v>0</v>
      </c>
      <c r="N79" s="371">
        <f t="shared" si="7"/>
        <v>2502327.48</v>
      </c>
      <c r="O79" s="6">
        <f>SUM(N78:N79)</f>
        <v>2847873.85</v>
      </c>
      <c r="S79" s="7"/>
      <c r="T79" s="7"/>
      <c r="U79" s="7"/>
      <c r="V79" s="7"/>
      <c r="W79" s="7"/>
      <c r="X79" s="7"/>
      <c r="Y79" s="6"/>
    </row>
    <row r="80" spans="1:25" ht="12.75">
      <c r="A80" s="521">
        <v>41306</v>
      </c>
      <c r="B80" s="390" t="s">
        <v>7</v>
      </c>
      <c r="C80" s="391">
        <v>303215.63</v>
      </c>
      <c r="D80" s="391">
        <v>0</v>
      </c>
      <c r="E80" s="391">
        <v>0</v>
      </c>
      <c r="F80" s="391">
        <f>67686.09+60936.24</f>
        <v>128622.32999999999</v>
      </c>
      <c r="G80" s="391">
        <v>7571.37</v>
      </c>
      <c r="H80" s="391">
        <v>0</v>
      </c>
      <c r="I80" s="392">
        <v>27298.63</v>
      </c>
      <c r="J80" s="392">
        <v>0</v>
      </c>
      <c r="K80" s="392">
        <v>0</v>
      </c>
      <c r="L80" s="392">
        <v>0</v>
      </c>
      <c r="M80" s="393">
        <v>0</v>
      </c>
      <c r="N80" s="394">
        <f aca="true" t="shared" si="8" ref="N80:N109">SUM(C80:M80)</f>
        <v>466707.95999999996</v>
      </c>
      <c r="O80" s="6"/>
      <c r="S80" s="7"/>
      <c r="T80" s="7"/>
      <c r="U80" s="7"/>
      <c r="V80" s="7"/>
      <c r="W80" s="7"/>
      <c r="X80" s="7"/>
      <c r="Y80" s="6"/>
    </row>
    <row r="81" spans="1:25" ht="13.5" thickBot="1">
      <c r="A81" s="531"/>
      <c r="B81" s="395" t="s">
        <v>8</v>
      </c>
      <c r="C81" s="396">
        <v>1543192.38</v>
      </c>
      <c r="D81" s="396">
        <v>237694.79</v>
      </c>
      <c r="E81" s="396">
        <v>281695.23</v>
      </c>
      <c r="F81" s="396">
        <v>233528.13</v>
      </c>
      <c r="G81" s="396">
        <v>162524.25</v>
      </c>
      <c r="H81" s="396">
        <v>357315.62</v>
      </c>
      <c r="I81" s="397">
        <v>180398.08</v>
      </c>
      <c r="J81" s="397">
        <v>96483.21</v>
      </c>
      <c r="K81" s="397">
        <v>1388.89</v>
      </c>
      <c r="L81" s="397">
        <v>0</v>
      </c>
      <c r="M81" s="398">
        <v>0</v>
      </c>
      <c r="N81" s="394">
        <f t="shared" si="8"/>
        <v>3094220.58</v>
      </c>
      <c r="O81" s="6">
        <f>SUM(N80:N81)</f>
        <v>3560928.54</v>
      </c>
      <c r="S81" s="7"/>
      <c r="T81" s="7"/>
      <c r="U81" s="7"/>
      <c r="V81" s="7"/>
      <c r="W81" s="7"/>
      <c r="X81" s="7"/>
      <c r="Y81" s="6"/>
    </row>
    <row r="82" spans="1:25" ht="12.75">
      <c r="A82" s="515">
        <v>41671</v>
      </c>
      <c r="B82" s="403" t="s">
        <v>7</v>
      </c>
      <c r="C82" s="404">
        <f>182555.46+11089.14</f>
        <v>193644.59999999998</v>
      </c>
      <c r="D82" s="404">
        <v>0</v>
      </c>
      <c r="E82" s="404">
        <v>0</v>
      </c>
      <c r="F82" s="404">
        <f>26381.94+65274.63</f>
        <v>91656.56999999999</v>
      </c>
      <c r="G82" s="404">
        <f>47013.88</f>
        <v>47013.88</v>
      </c>
      <c r="H82" s="404">
        <v>0</v>
      </c>
      <c r="I82" s="405">
        <v>15419.7</v>
      </c>
      <c r="J82" s="405">
        <v>0</v>
      </c>
      <c r="K82" s="405">
        <v>0</v>
      </c>
      <c r="L82" s="405">
        <v>0</v>
      </c>
      <c r="M82" s="406">
        <v>0</v>
      </c>
      <c r="N82" s="407">
        <f t="shared" si="8"/>
        <v>347734.75</v>
      </c>
      <c r="S82" s="7"/>
      <c r="T82" s="7"/>
      <c r="U82" s="7"/>
      <c r="V82" s="7"/>
      <c r="W82" s="7"/>
      <c r="X82" s="7"/>
      <c r="Y82" s="6"/>
    </row>
    <row r="83" spans="1:25" ht="13.5" thickBot="1">
      <c r="A83" s="516"/>
      <c r="B83" s="408" t="s">
        <v>8</v>
      </c>
      <c r="C83" s="409">
        <f>1663680.93+215262.01</f>
        <v>1878942.94</v>
      </c>
      <c r="D83" s="409">
        <v>206903.05</v>
      </c>
      <c r="E83" s="409">
        <v>281172.94</v>
      </c>
      <c r="F83" s="409">
        <f>323053.11</f>
        <v>323053.11</v>
      </c>
      <c r="G83" s="409">
        <f>222032.37</f>
        <v>222032.37</v>
      </c>
      <c r="H83" s="409">
        <v>494065.53</v>
      </c>
      <c r="I83" s="410">
        <v>247694.66</v>
      </c>
      <c r="J83" s="410">
        <v>87726.28</v>
      </c>
      <c r="K83" s="410">
        <v>3808.26</v>
      </c>
      <c r="L83" s="410">
        <v>0</v>
      </c>
      <c r="M83" s="411">
        <v>0</v>
      </c>
      <c r="N83" s="407">
        <f t="shared" si="8"/>
        <v>3745399.14</v>
      </c>
      <c r="O83" s="6">
        <f>SUM(N82:N83)</f>
        <v>4093133.89</v>
      </c>
      <c r="S83" s="7"/>
      <c r="T83" s="7"/>
      <c r="U83" s="7"/>
      <c r="V83" s="7"/>
      <c r="W83" s="7"/>
      <c r="X83" s="7"/>
      <c r="Y83" s="6"/>
    </row>
    <row r="84" spans="1:25" ht="12.75">
      <c r="A84" s="495" t="s">
        <v>118</v>
      </c>
      <c r="B84" s="416" t="s">
        <v>7</v>
      </c>
      <c r="C84" s="417">
        <f>159993.95+11804</f>
        <v>171797.95</v>
      </c>
      <c r="D84" s="417">
        <v>0</v>
      </c>
      <c r="E84" s="417">
        <v>0</v>
      </c>
      <c r="F84" s="417">
        <f>41092.02+39150.27</f>
        <v>80242.29</v>
      </c>
      <c r="G84" s="417">
        <f>39432.36</f>
        <v>39432.36</v>
      </c>
      <c r="H84" s="417">
        <v>0</v>
      </c>
      <c r="I84" s="418">
        <v>20718.93</v>
      </c>
      <c r="J84" s="418">
        <v>0</v>
      </c>
      <c r="K84" s="418">
        <v>0</v>
      </c>
      <c r="L84" s="418">
        <v>0</v>
      </c>
      <c r="M84" s="419">
        <v>0</v>
      </c>
      <c r="N84" s="420">
        <f aca="true" t="shared" si="9" ref="N84:N89">SUM(C84:M84)</f>
        <v>312191.52999999997</v>
      </c>
      <c r="O84" s="6"/>
      <c r="S84" s="7"/>
      <c r="T84" s="7"/>
      <c r="U84" s="7"/>
      <c r="V84" s="7"/>
      <c r="W84" s="7"/>
      <c r="X84" s="7"/>
      <c r="Y84" s="6"/>
    </row>
    <row r="85" spans="1:25" ht="13.5" thickBot="1">
      <c r="A85" s="496"/>
      <c r="B85" s="421" t="s">
        <v>8</v>
      </c>
      <c r="C85" s="422">
        <f>1929733.91+221325.6</f>
        <v>2151059.51</v>
      </c>
      <c r="D85" s="422">
        <v>242071.5</v>
      </c>
      <c r="E85" s="423">
        <v>341949.62</v>
      </c>
      <c r="F85" s="422">
        <f>317221.54+2803.71</f>
        <v>320025.25</v>
      </c>
      <c r="G85" s="422">
        <f>147891.46</f>
        <v>147891.46</v>
      </c>
      <c r="H85" s="422">
        <v>369058.5</v>
      </c>
      <c r="I85" s="424">
        <v>312166.97</v>
      </c>
      <c r="J85" s="424">
        <v>188419.41</v>
      </c>
      <c r="K85" s="424">
        <v>3515.37</v>
      </c>
      <c r="L85" s="424">
        <v>0</v>
      </c>
      <c r="M85" s="425">
        <v>0</v>
      </c>
      <c r="N85" s="420">
        <f t="shared" si="9"/>
        <v>4076157.59</v>
      </c>
      <c r="O85" s="6">
        <f>SUM(N84:N85)</f>
        <v>4388349.12</v>
      </c>
      <c r="S85" s="7"/>
      <c r="T85" s="7"/>
      <c r="U85" s="7"/>
      <c r="V85" s="7"/>
      <c r="W85" s="7"/>
      <c r="X85" s="7"/>
      <c r="Y85" s="6"/>
    </row>
    <row r="86" spans="1:25" ht="12.75">
      <c r="A86" s="511" t="s">
        <v>129</v>
      </c>
      <c r="B86" s="427" t="s">
        <v>7</v>
      </c>
      <c r="C86" s="428">
        <f>177125.84+5416.81</f>
        <v>182542.65</v>
      </c>
      <c r="D86" s="428">
        <v>0</v>
      </c>
      <c r="E86" s="428">
        <v>0</v>
      </c>
      <c r="F86" s="428">
        <v>1763.66</v>
      </c>
      <c r="G86" s="428">
        <v>0</v>
      </c>
      <c r="H86" s="428">
        <v>0</v>
      </c>
      <c r="I86" s="429">
        <v>11822.46</v>
      </c>
      <c r="J86" s="429">
        <v>0</v>
      </c>
      <c r="K86" s="429">
        <v>0</v>
      </c>
      <c r="L86" s="429">
        <v>0</v>
      </c>
      <c r="M86" s="430">
        <v>0</v>
      </c>
      <c r="N86" s="431">
        <f t="shared" si="9"/>
        <v>196128.77</v>
      </c>
      <c r="O86" s="6"/>
      <c r="S86" s="7"/>
      <c r="T86" s="7"/>
      <c r="U86" s="7"/>
      <c r="V86" s="7"/>
      <c r="W86" s="7"/>
      <c r="X86" s="7"/>
      <c r="Y86" s="6"/>
    </row>
    <row r="87" spans="1:25" ht="13.5" thickBot="1">
      <c r="A87" s="512"/>
      <c r="B87" s="432" t="s">
        <v>8</v>
      </c>
      <c r="C87" s="433">
        <f>1927333.05+235100.29</f>
        <v>2162433.34</v>
      </c>
      <c r="D87" s="433">
        <v>262088.99</v>
      </c>
      <c r="E87" s="434">
        <v>298055.09</v>
      </c>
      <c r="F87" s="433">
        <v>282681.62</v>
      </c>
      <c r="G87" s="433">
        <v>302333.83</v>
      </c>
      <c r="H87" s="433">
        <v>683529.24</v>
      </c>
      <c r="I87" s="435">
        <v>251963.44</v>
      </c>
      <c r="J87" s="435">
        <v>140549.53</v>
      </c>
      <c r="K87" s="435">
        <v>1042.18</v>
      </c>
      <c r="L87" s="435">
        <v>0</v>
      </c>
      <c r="M87" s="436">
        <v>0</v>
      </c>
      <c r="N87" s="431">
        <f t="shared" si="9"/>
        <v>4384677.260000001</v>
      </c>
      <c r="O87" s="6">
        <f>SUM(N86:N87)</f>
        <v>4580806.03</v>
      </c>
      <c r="S87" s="7"/>
      <c r="T87" s="7"/>
      <c r="U87" s="7"/>
      <c r="V87" s="7"/>
      <c r="W87" s="7"/>
      <c r="X87" s="7"/>
      <c r="Y87" s="6"/>
    </row>
    <row r="88" spans="1:25" ht="12.75">
      <c r="A88" s="500" t="s">
        <v>143</v>
      </c>
      <c r="B88" s="438" t="s">
        <v>7</v>
      </c>
      <c r="C88" s="439">
        <v>114383.90999999973</v>
      </c>
      <c r="D88" s="439"/>
      <c r="E88" s="440"/>
      <c r="F88" s="439">
        <v>20644.04</v>
      </c>
      <c r="G88" s="439">
        <v>15461.97</v>
      </c>
      <c r="H88" s="439"/>
      <c r="I88" s="441">
        <v>3242.97</v>
      </c>
      <c r="J88" s="441"/>
      <c r="K88" s="441"/>
      <c r="L88" s="441"/>
      <c r="M88" s="442"/>
      <c r="N88" s="443">
        <f t="shared" si="9"/>
        <v>153732.88999999972</v>
      </c>
      <c r="O88" s="6"/>
      <c r="S88" s="7"/>
      <c r="T88" s="7"/>
      <c r="U88" s="7"/>
      <c r="V88" s="7"/>
      <c r="W88" s="7"/>
      <c r="X88" s="7"/>
      <c r="Y88" s="6"/>
    </row>
    <row r="89" spans="1:25" ht="13.5" thickBot="1">
      <c r="A89" s="501"/>
      <c r="B89" s="444" t="s">
        <v>8</v>
      </c>
      <c r="C89" s="445">
        <v>2159834.1699999953</v>
      </c>
      <c r="D89" s="445">
        <v>282696.28</v>
      </c>
      <c r="E89" s="446">
        <v>392001.1</v>
      </c>
      <c r="F89" s="445">
        <v>165838.55</v>
      </c>
      <c r="G89" s="445">
        <v>218028.14</v>
      </c>
      <c r="H89" s="445">
        <v>664186.78</v>
      </c>
      <c r="I89" s="447">
        <v>437593.57</v>
      </c>
      <c r="J89" s="447">
        <v>113235.73000000001</v>
      </c>
      <c r="K89" s="447">
        <v>3299.59</v>
      </c>
      <c r="L89" s="447"/>
      <c r="M89" s="448"/>
      <c r="N89" s="443">
        <f t="shared" si="9"/>
        <v>4436713.909999996</v>
      </c>
      <c r="O89" s="6">
        <f>SUM(N88:N89)</f>
        <v>4590446.799999996</v>
      </c>
      <c r="S89" s="7"/>
      <c r="T89" s="7"/>
      <c r="U89" s="7"/>
      <c r="V89" s="7"/>
      <c r="W89" s="7"/>
      <c r="X89" s="7"/>
      <c r="Y89" s="6"/>
    </row>
    <row r="90" spans="1:25" ht="12.75">
      <c r="A90" s="508" t="s">
        <v>156</v>
      </c>
      <c r="B90" s="449" t="s">
        <v>7</v>
      </c>
      <c r="C90" s="450">
        <v>160943.68</v>
      </c>
      <c r="D90" s="450">
        <v>0</v>
      </c>
      <c r="E90" s="450">
        <v>0</v>
      </c>
      <c r="F90" s="450">
        <v>26051.94</v>
      </c>
      <c r="G90" s="450">
        <v>19152.42</v>
      </c>
      <c r="H90" s="450">
        <v>0</v>
      </c>
      <c r="I90" s="452">
        <v>3344.88</v>
      </c>
      <c r="J90" s="452">
        <v>0</v>
      </c>
      <c r="K90" s="452">
        <v>0</v>
      </c>
      <c r="L90" s="452">
        <v>0</v>
      </c>
      <c r="M90" s="453">
        <v>0</v>
      </c>
      <c r="N90" s="454">
        <f aca="true" t="shared" si="10" ref="N90:N95">SUM(C90:M90)</f>
        <v>209492.91999999998</v>
      </c>
      <c r="O90" s="6"/>
      <c r="S90" s="7"/>
      <c r="T90" s="7"/>
      <c r="U90" s="7"/>
      <c r="V90" s="7"/>
      <c r="W90" s="7"/>
      <c r="X90" s="7"/>
      <c r="Y90" s="6"/>
    </row>
    <row r="91" spans="1:25" ht="13.5" thickBot="1">
      <c r="A91" s="509"/>
      <c r="B91" s="455" t="s">
        <v>8</v>
      </c>
      <c r="C91" s="456">
        <v>2657649.03</v>
      </c>
      <c r="D91" s="456">
        <v>320105.86</v>
      </c>
      <c r="E91" s="457">
        <v>460483.48</v>
      </c>
      <c r="F91" s="456">
        <v>258147.97</v>
      </c>
      <c r="G91" s="456">
        <v>149285.82</v>
      </c>
      <c r="H91" s="456">
        <v>724374.5900000001</v>
      </c>
      <c r="I91" s="458">
        <v>492412.65</v>
      </c>
      <c r="J91" s="458">
        <v>87967.37</v>
      </c>
      <c r="K91" s="458">
        <v>3309.47</v>
      </c>
      <c r="L91" s="458">
        <v>0</v>
      </c>
      <c r="M91" s="459">
        <v>0</v>
      </c>
      <c r="N91" s="454">
        <f t="shared" si="10"/>
        <v>5153736.24</v>
      </c>
      <c r="O91" s="6">
        <f>SUM(N90:N91)</f>
        <v>5363229.16</v>
      </c>
      <c r="S91" s="7"/>
      <c r="T91" s="7"/>
      <c r="U91" s="7"/>
      <c r="V91" s="7"/>
      <c r="W91" s="7"/>
      <c r="X91" s="7"/>
      <c r="Y91" s="6"/>
    </row>
    <row r="92" spans="1:25" ht="12.75">
      <c r="A92" s="498" t="s">
        <v>171</v>
      </c>
      <c r="B92" s="462" t="s">
        <v>7</v>
      </c>
      <c r="C92" s="463">
        <v>163214.56999999998</v>
      </c>
      <c r="D92" s="463">
        <v>0</v>
      </c>
      <c r="E92" s="464">
        <v>0</v>
      </c>
      <c r="F92" s="463">
        <v>13649.23</v>
      </c>
      <c r="G92" s="463">
        <v>9191.43</v>
      </c>
      <c r="H92" s="463">
        <v>0</v>
      </c>
      <c r="I92" s="465">
        <v>508.78</v>
      </c>
      <c r="J92" s="465">
        <v>0</v>
      </c>
      <c r="K92" s="465">
        <v>0</v>
      </c>
      <c r="L92" s="465">
        <v>0</v>
      </c>
      <c r="M92" s="466">
        <v>0</v>
      </c>
      <c r="N92" s="467">
        <f t="shared" si="10"/>
        <v>186564.00999999998</v>
      </c>
      <c r="O92" s="6"/>
      <c r="S92" s="7"/>
      <c r="T92" s="7"/>
      <c r="U92" s="7"/>
      <c r="V92" s="7"/>
      <c r="W92" s="7"/>
      <c r="X92" s="7"/>
      <c r="Y92" s="6"/>
    </row>
    <row r="93" spans="1:25" ht="13.5" thickBot="1">
      <c r="A93" s="499"/>
      <c r="B93" s="468" t="s">
        <v>8</v>
      </c>
      <c r="C93" s="469">
        <v>2563098.1599999997</v>
      </c>
      <c r="D93" s="469">
        <v>335820.73</v>
      </c>
      <c r="E93" s="470">
        <v>575733.85</v>
      </c>
      <c r="F93" s="469">
        <v>244507.71</v>
      </c>
      <c r="G93" s="469">
        <v>225324.9</v>
      </c>
      <c r="H93" s="469">
        <v>811622.41</v>
      </c>
      <c r="I93" s="471">
        <v>454162.34</v>
      </c>
      <c r="J93" s="471">
        <v>0</v>
      </c>
      <c r="K93" s="471">
        <v>2851.3</v>
      </c>
      <c r="L93" s="471">
        <v>0</v>
      </c>
      <c r="M93" s="472">
        <v>0</v>
      </c>
      <c r="N93" s="467">
        <f t="shared" si="10"/>
        <v>5213121.399999999</v>
      </c>
      <c r="O93" s="6">
        <f>SUM(N92:N93)</f>
        <v>5399685.409999999</v>
      </c>
      <c r="S93" s="7"/>
      <c r="T93" s="7"/>
      <c r="U93" s="7"/>
      <c r="V93" s="7"/>
      <c r="W93" s="7"/>
      <c r="X93" s="7"/>
      <c r="Y93" s="6"/>
    </row>
    <row r="94" spans="1:25" ht="12.75">
      <c r="A94" s="493" t="s">
        <v>195</v>
      </c>
      <c r="B94" s="473" t="s">
        <v>7</v>
      </c>
      <c r="C94" s="474">
        <v>153155.58</v>
      </c>
      <c r="D94" s="474">
        <v>0</v>
      </c>
      <c r="E94" s="474">
        <v>0</v>
      </c>
      <c r="F94" s="474">
        <v>8397.37</v>
      </c>
      <c r="G94" s="474">
        <v>7825</v>
      </c>
      <c r="H94" s="474">
        <v>0</v>
      </c>
      <c r="I94" s="475">
        <v>139.3</v>
      </c>
      <c r="J94" s="475">
        <v>0</v>
      </c>
      <c r="K94" s="475">
        <v>0</v>
      </c>
      <c r="L94" s="475">
        <v>0</v>
      </c>
      <c r="M94" s="476">
        <v>0</v>
      </c>
      <c r="N94" s="477">
        <f t="shared" si="10"/>
        <v>169517.24999999997</v>
      </c>
      <c r="O94" s="6"/>
      <c r="S94" s="7"/>
      <c r="T94" s="7"/>
      <c r="U94" s="7"/>
      <c r="V94" s="7"/>
      <c r="W94" s="7"/>
      <c r="X94" s="7"/>
      <c r="Y94" s="6"/>
    </row>
    <row r="95" spans="1:25" ht="13.5" thickBot="1">
      <c r="A95" s="494"/>
      <c r="B95" s="478" t="s">
        <v>8</v>
      </c>
      <c r="C95" s="479">
        <v>2944439.4099999997</v>
      </c>
      <c r="D95" s="479">
        <v>535651.71</v>
      </c>
      <c r="E95" s="480">
        <v>564232.63</v>
      </c>
      <c r="F95" s="479">
        <v>191538.4</v>
      </c>
      <c r="G95" s="479">
        <v>248196.59</v>
      </c>
      <c r="H95" s="479">
        <v>1016990.05</v>
      </c>
      <c r="I95" s="481">
        <v>501863.06</v>
      </c>
      <c r="J95" s="481"/>
      <c r="K95" s="481">
        <v>5208.03</v>
      </c>
      <c r="L95" s="481">
        <v>0</v>
      </c>
      <c r="M95" s="482">
        <v>0</v>
      </c>
      <c r="N95" s="477">
        <f t="shared" si="10"/>
        <v>6008119.879999999</v>
      </c>
      <c r="O95" s="6">
        <f>SUM(N94:N95)</f>
        <v>6177637.129999999</v>
      </c>
      <c r="S95" s="7"/>
      <c r="T95" s="7"/>
      <c r="U95" s="7"/>
      <c r="V95" s="7"/>
      <c r="W95" s="7"/>
      <c r="X95" s="7"/>
      <c r="Y95" s="6"/>
    </row>
    <row r="96" spans="1:25" ht="12.75">
      <c r="A96" s="538" t="s">
        <v>208</v>
      </c>
      <c r="B96" s="483" t="s">
        <v>7</v>
      </c>
      <c r="C96" s="484">
        <v>0</v>
      </c>
      <c r="D96" s="484">
        <v>0</v>
      </c>
      <c r="E96" s="484">
        <v>0</v>
      </c>
      <c r="F96" s="484">
        <v>829.35</v>
      </c>
      <c r="G96" s="484">
        <v>0</v>
      </c>
      <c r="H96" s="484">
        <v>0</v>
      </c>
      <c r="I96" s="485">
        <v>0</v>
      </c>
      <c r="J96" s="485">
        <v>0</v>
      </c>
      <c r="K96" s="485">
        <v>0</v>
      </c>
      <c r="L96" s="485">
        <v>0</v>
      </c>
      <c r="M96" s="486">
        <v>0</v>
      </c>
      <c r="N96" s="487">
        <f>SUM(C96:M96)</f>
        <v>829.35</v>
      </c>
      <c r="O96" s="6"/>
      <c r="S96" s="7"/>
      <c r="T96" s="7"/>
      <c r="U96" s="7"/>
      <c r="V96" s="7"/>
      <c r="W96" s="7"/>
      <c r="X96" s="7"/>
      <c r="Y96" s="6"/>
    </row>
    <row r="97" spans="1:25" ht="13.5" thickBot="1">
      <c r="A97" s="539"/>
      <c r="B97" s="488" t="s">
        <v>8</v>
      </c>
      <c r="C97" s="489">
        <v>1402116.97</v>
      </c>
      <c r="D97" s="489">
        <v>359894.64</v>
      </c>
      <c r="E97" s="490">
        <v>379296.51</v>
      </c>
      <c r="F97" s="489">
        <v>249210.12</v>
      </c>
      <c r="G97" s="489">
        <v>14.8</v>
      </c>
      <c r="H97" s="489">
        <v>561192.03</v>
      </c>
      <c r="I97" s="491">
        <v>243333.65</v>
      </c>
      <c r="J97" s="491">
        <v>0</v>
      </c>
      <c r="K97" s="491">
        <v>2273.63</v>
      </c>
      <c r="L97" s="491">
        <v>0</v>
      </c>
      <c r="M97" s="492">
        <v>0</v>
      </c>
      <c r="N97" s="487">
        <f>SUM(C97:M97)</f>
        <v>3197332.35</v>
      </c>
      <c r="O97" s="6">
        <f>SUM(N96:N97)</f>
        <v>3198161.7</v>
      </c>
      <c r="S97" s="7"/>
      <c r="T97" s="7"/>
      <c r="U97" s="7"/>
      <c r="V97" s="7"/>
      <c r="W97" s="7"/>
      <c r="X97" s="7"/>
      <c r="Y97" s="6"/>
    </row>
    <row r="98" spans="1:25" ht="12.75">
      <c r="A98" s="536">
        <v>36220</v>
      </c>
      <c r="B98" s="49" t="s">
        <v>7</v>
      </c>
      <c r="C98" s="72">
        <v>461717</v>
      </c>
      <c r="D98" s="72">
        <v>27327</v>
      </c>
      <c r="E98" s="72">
        <v>13264</v>
      </c>
      <c r="F98" s="72">
        <v>1219893</v>
      </c>
      <c r="G98" s="72"/>
      <c r="H98" s="72"/>
      <c r="I98" s="96">
        <v>487</v>
      </c>
      <c r="J98" s="96"/>
      <c r="K98" s="96"/>
      <c r="L98" s="96"/>
      <c r="M98" s="50">
        <v>30717</v>
      </c>
      <c r="N98" s="5">
        <f t="shared" si="8"/>
        <v>1753405</v>
      </c>
      <c r="S98" s="7"/>
      <c r="T98" s="7"/>
      <c r="U98" s="7"/>
      <c r="V98" s="7"/>
      <c r="W98" s="7"/>
      <c r="X98" s="7"/>
      <c r="Y98" s="6"/>
    </row>
    <row r="99" spans="1:24" ht="13.5" thickBot="1">
      <c r="A99" s="537"/>
      <c r="B99" s="51" t="s">
        <v>8</v>
      </c>
      <c r="C99" s="73">
        <v>23570</v>
      </c>
      <c r="D99" s="73">
        <v>0</v>
      </c>
      <c r="E99" s="73">
        <v>71</v>
      </c>
      <c r="F99" s="73">
        <v>33497</v>
      </c>
      <c r="G99" s="73"/>
      <c r="H99" s="73"/>
      <c r="I99" s="97">
        <v>16680</v>
      </c>
      <c r="J99" s="97"/>
      <c r="K99" s="97"/>
      <c r="L99" s="97"/>
      <c r="M99" s="52">
        <v>0</v>
      </c>
      <c r="N99" s="5">
        <f t="shared" si="8"/>
        <v>73818</v>
      </c>
      <c r="O99" s="6">
        <f>SUM(N98:N99)</f>
        <v>1827223</v>
      </c>
      <c r="S99" s="7"/>
      <c r="T99" s="7"/>
      <c r="U99" s="7"/>
      <c r="V99" s="7"/>
      <c r="W99" s="7"/>
      <c r="X99" s="7"/>
    </row>
    <row r="100" spans="1:24" ht="12.75">
      <c r="A100" s="535">
        <v>36586</v>
      </c>
      <c r="B100" s="53" t="s">
        <v>7</v>
      </c>
      <c r="C100" s="74">
        <f>'[1]2000'!C12</f>
        <v>594166.95</v>
      </c>
      <c r="D100" s="74">
        <f>'[1]2000'!D12</f>
        <v>40180.08</v>
      </c>
      <c r="E100" s="74">
        <f>'[1]2000'!E12</f>
        <v>9768.48</v>
      </c>
      <c r="F100" s="74">
        <f>'[1]2000'!F12</f>
        <v>1301953</v>
      </c>
      <c r="G100" s="74"/>
      <c r="H100" s="74"/>
      <c r="I100" s="98">
        <f>'[1]2000'!G12</f>
        <v>27486.57</v>
      </c>
      <c r="J100" s="98"/>
      <c r="K100" s="98"/>
      <c r="L100" s="98"/>
      <c r="M100" s="54">
        <f>'[1]2000'!H12</f>
        <v>11936.67</v>
      </c>
      <c r="N100" s="8">
        <f t="shared" si="8"/>
        <v>1985491.7499999998</v>
      </c>
      <c r="P100" s="11"/>
      <c r="Q100" s="11"/>
      <c r="S100" s="7"/>
      <c r="T100" s="7"/>
      <c r="U100" s="7"/>
      <c r="V100" s="7"/>
      <c r="W100" s="7"/>
      <c r="X100" s="7"/>
    </row>
    <row r="101" spans="1:24" ht="13.5" thickBot="1">
      <c r="A101" s="535"/>
      <c r="B101" s="55" t="s">
        <v>8</v>
      </c>
      <c r="C101" s="75">
        <f>'[1]2000'!C13</f>
        <v>31271.94</v>
      </c>
      <c r="D101" s="75">
        <f>'[1]2000'!D13</f>
        <v>0</v>
      </c>
      <c r="E101" s="75">
        <f>'[1]2000'!E13</f>
        <v>960.73</v>
      </c>
      <c r="F101" s="75">
        <f>'[1]2000'!F13</f>
        <v>154027.83</v>
      </c>
      <c r="G101" s="75"/>
      <c r="H101" s="75"/>
      <c r="I101" s="99">
        <f>'[1]2000'!G13</f>
        <v>60834.43</v>
      </c>
      <c r="J101" s="99"/>
      <c r="K101" s="99"/>
      <c r="L101" s="99"/>
      <c r="M101" s="56">
        <f>'[1]2000'!H13</f>
        <v>0</v>
      </c>
      <c r="N101" s="8">
        <f t="shared" si="8"/>
        <v>247094.93</v>
      </c>
      <c r="O101" s="6">
        <f>SUM(N100:N101)</f>
        <v>2232586.6799999997</v>
      </c>
      <c r="P101" s="11"/>
      <c r="Q101" s="11"/>
      <c r="S101" s="7"/>
      <c r="T101" s="7"/>
      <c r="U101" s="7"/>
      <c r="V101" s="7"/>
      <c r="W101" s="7"/>
      <c r="X101" s="7"/>
    </row>
    <row r="102" spans="1:24" ht="12.75">
      <c r="A102" s="497">
        <f>A100+366</f>
        <v>36952</v>
      </c>
      <c r="B102" s="57" t="s">
        <v>7</v>
      </c>
      <c r="C102" s="76">
        <v>757998.77</v>
      </c>
      <c r="D102" s="76">
        <v>50763.71</v>
      </c>
      <c r="E102" s="76">
        <v>4104.02</v>
      </c>
      <c r="F102" s="76">
        <v>1327843</v>
      </c>
      <c r="G102" s="76"/>
      <c r="H102" s="76"/>
      <c r="I102" s="100">
        <v>37094.29</v>
      </c>
      <c r="J102" s="100"/>
      <c r="K102" s="100"/>
      <c r="L102" s="100"/>
      <c r="M102" s="58">
        <v>18628.4</v>
      </c>
      <c r="N102" s="9">
        <f t="shared" si="8"/>
        <v>2196432.19</v>
      </c>
      <c r="P102" s="11"/>
      <c r="Q102" s="11"/>
      <c r="S102" s="7"/>
      <c r="T102" s="7"/>
      <c r="U102" s="7"/>
      <c r="V102" s="7"/>
      <c r="W102" s="7"/>
      <c r="X102" s="7"/>
    </row>
    <row r="103" spans="1:24" ht="13.5" thickBot="1">
      <c r="A103" s="497"/>
      <c r="B103" s="59" t="s">
        <v>8</v>
      </c>
      <c r="C103" s="77">
        <v>39839.74</v>
      </c>
      <c r="D103" s="92"/>
      <c r="E103" s="77">
        <v>13739.03</v>
      </c>
      <c r="F103" s="77">
        <v>255884</v>
      </c>
      <c r="G103" s="77"/>
      <c r="H103" s="77"/>
      <c r="I103" s="10">
        <v>111500.94</v>
      </c>
      <c r="J103" s="10"/>
      <c r="K103" s="10"/>
      <c r="L103" s="10"/>
      <c r="M103" s="60">
        <v>4940.66</v>
      </c>
      <c r="N103" s="9">
        <f t="shared" si="8"/>
        <v>425904.37</v>
      </c>
      <c r="O103" s="6">
        <f>SUM(N102:N103)</f>
        <v>2622336.56</v>
      </c>
      <c r="P103" s="11"/>
      <c r="Q103" s="11"/>
      <c r="S103" s="7"/>
      <c r="T103" s="7"/>
      <c r="U103" s="7"/>
      <c r="V103" s="7"/>
      <c r="W103" s="7"/>
      <c r="X103" s="7"/>
    </row>
    <row r="104" spans="1:24" ht="12.75">
      <c r="A104" s="534">
        <v>37316</v>
      </c>
      <c r="B104" s="70" t="s">
        <v>7</v>
      </c>
      <c r="C104" s="78">
        <v>498926.09</v>
      </c>
      <c r="D104" s="78">
        <v>19014.1</v>
      </c>
      <c r="E104" s="78">
        <v>0</v>
      </c>
      <c r="F104" s="78">
        <v>1050469</v>
      </c>
      <c r="G104" s="78"/>
      <c r="H104" s="78"/>
      <c r="I104" s="101">
        <v>24158.79</v>
      </c>
      <c r="J104" s="101"/>
      <c r="K104" s="101"/>
      <c r="L104" s="101"/>
      <c r="M104" s="62">
        <v>6535.9</v>
      </c>
      <c r="N104" s="19">
        <f t="shared" si="8"/>
        <v>1599103.88</v>
      </c>
      <c r="P104" s="11"/>
      <c r="Q104" s="11"/>
      <c r="S104" s="7"/>
      <c r="T104" s="7"/>
      <c r="U104" s="7"/>
      <c r="V104" s="7"/>
      <c r="W104" s="7"/>
      <c r="X104" s="7"/>
    </row>
    <row r="105" spans="1:24" ht="13.5" thickBot="1">
      <c r="A105" s="534">
        <v>37316</v>
      </c>
      <c r="B105" s="71" t="s">
        <v>8</v>
      </c>
      <c r="C105" s="79">
        <v>26212.77</v>
      </c>
      <c r="D105" s="79">
        <v>119599.98</v>
      </c>
      <c r="E105" s="79">
        <v>1434.6</v>
      </c>
      <c r="F105" s="79">
        <v>136993</v>
      </c>
      <c r="G105" s="79"/>
      <c r="H105" s="79"/>
      <c r="I105" s="21">
        <v>132908.43</v>
      </c>
      <c r="J105" s="21"/>
      <c r="K105" s="21"/>
      <c r="L105" s="21"/>
      <c r="M105" s="64">
        <v>7168.67</v>
      </c>
      <c r="N105" s="19">
        <f t="shared" si="8"/>
        <v>424317.44999999995</v>
      </c>
      <c r="O105" s="6">
        <f>SUM(N104:N105)</f>
        <v>2023421.3299999998</v>
      </c>
      <c r="P105" s="11"/>
      <c r="Q105" s="11"/>
      <c r="S105" s="7"/>
      <c r="T105" s="7"/>
      <c r="U105" s="7"/>
      <c r="V105" s="7"/>
      <c r="W105" s="7"/>
      <c r="X105" s="7"/>
    </row>
    <row r="106" spans="1:24" ht="12.75">
      <c r="A106" s="519">
        <v>37681</v>
      </c>
      <c r="B106" s="112" t="s">
        <v>7</v>
      </c>
      <c r="C106" s="80">
        <v>162649.42</v>
      </c>
      <c r="D106" s="80">
        <v>28103.29</v>
      </c>
      <c r="E106" s="80">
        <v>0</v>
      </c>
      <c r="F106" s="80">
        <f>2047.42+530666.6</f>
        <v>532714.02</v>
      </c>
      <c r="G106" s="80"/>
      <c r="H106" s="80">
        <v>0</v>
      </c>
      <c r="I106" s="102">
        <v>61809.45</v>
      </c>
      <c r="J106" s="102"/>
      <c r="K106" s="102"/>
      <c r="L106" s="102"/>
      <c r="M106" s="66">
        <v>20371.47</v>
      </c>
      <c r="N106" s="113">
        <f t="shared" si="8"/>
        <v>805647.6499999999</v>
      </c>
      <c r="O106" s="6"/>
      <c r="P106" s="11"/>
      <c r="Q106" s="11"/>
      <c r="S106" s="7"/>
      <c r="T106" s="7"/>
      <c r="U106" s="7"/>
      <c r="V106" s="7"/>
      <c r="W106" s="7"/>
      <c r="X106" s="7"/>
    </row>
    <row r="107" spans="1:24" ht="13.5" thickBot="1">
      <c r="A107" s="520"/>
      <c r="B107" s="114" t="s">
        <v>8</v>
      </c>
      <c r="C107" s="81">
        <v>225734.91</v>
      </c>
      <c r="D107" s="81">
        <v>120224.7</v>
      </c>
      <c r="E107" s="81">
        <v>46535.76</v>
      </c>
      <c r="F107" s="81">
        <v>139551.79</v>
      </c>
      <c r="G107" s="81"/>
      <c r="H107" s="81">
        <v>8091.06</v>
      </c>
      <c r="I107" s="103">
        <v>105102.3</v>
      </c>
      <c r="J107" s="103"/>
      <c r="K107" s="103"/>
      <c r="L107" s="103"/>
      <c r="M107" s="69">
        <v>2340</v>
      </c>
      <c r="N107" s="113">
        <f t="shared" si="8"/>
        <v>647580.5200000001</v>
      </c>
      <c r="O107" s="6">
        <f>SUM(N106:N107)</f>
        <v>1453228.17</v>
      </c>
      <c r="P107" s="11"/>
      <c r="Q107" s="11"/>
      <c r="S107" s="7"/>
      <c r="T107" s="7"/>
      <c r="U107" s="7"/>
      <c r="V107" s="7"/>
      <c r="W107" s="7"/>
      <c r="X107" s="7"/>
    </row>
    <row r="108" spans="1:24" ht="12.75">
      <c r="A108" s="523">
        <v>38047</v>
      </c>
      <c r="B108" s="214" t="s">
        <v>7</v>
      </c>
      <c r="C108" s="215">
        <v>432661.57</v>
      </c>
      <c r="D108" s="215">
        <v>28519.45</v>
      </c>
      <c r="E108" s="215"/>
      <c r="F108" s="215">
        <f>12489.24+729919.42</f>
        <v>742408.66</v>
      </c>
      <c r="G108" s="215"/>
      <c r="H108" s="215"/>
      <c r="I108" s="216">
        <v>23842.77</v>
      </c>
      <c r="J108" s="216"/>
      <c r="K108" s="216"/>
      <c r="L108" s="216"/>
      <c r="M108" s="217">
        <v>9921.01</v>
      </c>
      <c r="N108" s="218">
        <f t="shared" si="8"/>
        <v>1237353.4600000002</v>
      </c>
      <c r="O108" s="6"/>
      <c r="P108" s="11"/>
      <c r="Q108" s="11"/>
      <c r="S108" s="7"/>
      <c r="T108" s="7"/>
      <c r="U108" s="7"/>
      <c r="V108" s="7"/>
      <c r="W108" s="7"/>
      <c r="X108" s="7"/>
    </row>
    <row r="109" spans="1:24" ht="13.5" thickBot="1">
      <c r="A109" s="524"/>
      <c r="B109" s="223" t="s">
        <v>8</v>
      </c>
      <c r="C109" s="224">
        <v>394942.12</v>
      </c>
      <c r="D109" s="224">
        <v>294935.9</v>
      </c>
      <c r="E109" s="225">
        <v>242950.52</v>
      </c>
      <c r="F109" s="224">
        <f>304027.52</f>
        <v>304027.52</v>
      </c>
      <c r="G109" s="224"/>
      <c r="H109" s="224">
        <v>59131.18</v>
      </c>
      <c r="I109" s="226">
        <v>341559.92</v>
      </c>
      <c r="J109" s="226"/>
      <c r="K109" s="226"/>
      <c r="L109" s="226"/>
      <c r="M109" s="227">
        <v>19662.49</v>
      </c>
      <c r="N109" s="218">
        <f t="shared" si="8"/>
        <v>1657209.65</v>
      </c>
      <c r="O109" s="6">
        <f>SUM(N108:N109)</f>
        <v>2894563.1100000003</v>
      </c>
      <c r="P109" s="11"/>
      <c r="Q109" s="11"/>
      <c r="S109" s="7"/>
      <c r="T109" s="7"/>
      <c r="U109" s="7"/>
      <c r="V109" s="7"/>
      <c r="W109" s="7"/>
      <c r="X109" s="7"/>
    </row>
    <row r="110" spans="1:24" ht="12.75">
      <c r="A110" s="517">
        <v>38412</v>
      </c>
      <c r="B110" s="274" t="s">
        <v>7</v>
      </c>
      <c r="C110" s="275">
        <v>368009.63</v>
      </c>
      <c r="D110" s="275">
        <v>27976.1</v>
      </c>
      <c r="E110" s="275"/>
      <c r="F110" s="275">
        <f>12421.77+1252734.46</f>
        <v>1265156.23</v>
      </c>
      <c r="G110" s="275"/>
      <c r="H110" s="275"/>
      <c r="I110" s="276">
        <v>71888.35</v>
      </c>
      <c r="J110" s="276"/>
      <c r="K110" s="276"/>
      <c r="L110" s="276"/>
      <c r="M110" s="277">
        <v>18091.44</v>
      </c>
      <c r="N110" s="273">
        <f aca="true" t="shared" si="11" ref="N110:N115">SUM(C110:M110)</f>
        <v>1751121.75</v>
      </c>
      <c r="O110" s="6"/>
      <c r="P110" s="11"/>
      <c r="Q110" s="11"/>
      <c r="S110" s="7"/>
      <c r="T110" s="7"/>
      <c r="U110" s="7"/>
      <c r="V110" s="7"/>
      <c r="W110" s="7"/>
      <c r="X110" s="7"/>
    </row>
    <row r="111" spans="1:24" ht="13.5" thickBot="1">
      <c r="A111" s="518"/>
      <c r="B111" s="282" t="s">
        <v>8</v>
      </c>
      <c r="C111" s="283">
        <v>258013.26</v>
      </c>
      <c r="D111" s="283">
        <v>192847.97</v>
      </c>
      <c r="E111" s="284">
        <v>53975.27</v>
      </c>
      <c r="F111" s="283">
        <v>195762.92</v>
      </c>
      <c r="G111" s="283"/>
      <c r="H111" s="283">
        <f>160341.98+851.6</f>
        <v>161193.58000000002</v>
      </c>
      <c r="I111" s="285">
        <v>224038.52</v>
      </c>
      <c r="J111" s="285"/>
      <c r="K111" s="285"/>
      <c r="L111" s="285">
        <v>40738</v>
      </c>
      <c r="M111" s="286">
        <v>17309.84</v>
      </c>
      <c r="N111" s="273">
        <f t="shared" si="11"/>
        <v>1143879.36</v>
      </c>
      <c r="O111" s="6">
        <f>SUM(N110:N111)</f>
        <v>2895001.1100000003</v>
      </c>
      <c r="P111" s="11"/>
      <c r="Q111" s="11"/>
      <c r="S111" s="7"/>
      <c r="T111" s="7"/>
      <c r="U111" s="7"/>
      <c r="V111" s="7"/>
      <c r="W111" s="7"/>
      <c r="X111" s="7"/>
    </row>
    <row r="112" spans="1:24" ht="12.75">
      <c r="A112" s="527">
        <v>38777</v>
      </c>
      <c r="B112" s="289" t="s">
        <v>7</v>
      </c>
      <c r="C112" s="290">
        <v>253784.02</v>
      </c>
      <c r="D112" s="290">
        <v>-40.69</v>
      </c>
      <c r="E112" s="290"/>
      <c r="F112" s="290">
        <f>921213.51+3116.4</f>
        <v>924329.91</v>
      </c>
      <c r="G112" s="290">
        <v>203.37</v>
      </c>
      <c r="H112" s="290"/>
      <c r="I112" s="291">
        <v>5807.75</v>
      </c>
      <c r="J112" s="291"/>
      <c r="K112" s="291"/>
      <c r="L112" s="291"/>
      <c r="M112" s="292">
        <v>14187.49</v>
      </c>
      <c r="N112" s="293">
        <f t="shared" si="11"/>
        <v>1198271.85</v>
      </c>
      <c r="O112" s="6"/>
      <c r="P112" s="11"/>
      <c r="Q112" s="11"/>
      <c r="S112" s="7"/>
      <c r="T112" s="7"/>
      <c r="U112" s="7"/>
      <c r="V112" s="7"/>
      <c r="W112" s="7"/>
      <c r="X112" s="7"/>
    </row>
    <row r="113" spans="1:24" ht="13.5" thickBot="1">
      <c r="A113" s="528"/>
      <c r="B113" s="299" t="s">
        <v>8</v>
      </c>
      <c r="C113" s="300">
        <v>612563.53</v>
      </c>
      <c r="D113" s="300">
        <v>225586.37</v>
      </c>
      <c r="E113" s="301">
        <v>80913.24</v>
      </c>
      <c r="F113" s="300">
        <v>184437.19</v>
      </c>
      <c r="G113" s="300">
        <v>93968.5</v>
      </c>
      <c r="H113" s="300">
        <v>179323.85</v>
      </c>
      <c r="I113" s="302">
        <v>171030.32</v>
      </c>
      <c r="J113" s="302"/>
      <c r="K113" s="302"/>
      <c r="L113" s="302">
        <v>0</v>
      </c>
      <c r="M113" s="303">
        <v>13708.22</v>
      </c>
      <c r="N113" s="293">
        <f t="shared" si="11"/>
        <v>1561531.2200000002</v>
      </c>
      <c r="O113" s="6">
        <f>SUM(N112:N113)</f>
        <v>2759803.0700000003</v>
      </c>
      <c r="P113" s="11"/>
      <c r="Q113" s="11"/>
      <c r="S113" s="7"/>
      <c r="T113" s="7"/>
      <c r="U113" s="7"/>
      <c r="V113" s="7"/>
      <c r="W113" s="7"/>
      <c r="X113" s="7"/>
    </row>
    <row r="114" spans="1:24" ht="12.75">
      <c r="A114" s="502" t="s">
        <v>41</v>
      </c>
      <c r="B114" s="305" t="s">
        <v>7</v>
      </c>
      <c r="C114" s="306">
        <v>407416.04</v>
      </c>
      <c r="D114" s="306">
        <v>135.96</v>
      </c>
      <c r="E114" s="306"/>
      <c r="F114" s="306">
        <f>12441.71+1324269.87</f>
        <v>1336711.58</v>
      </c>
      <c r="G114" s="306">
        <v>1807.19</v>
      </c>
      <c r="H114" s="306"/>
      <c r="I114" s="307">
        <v>67601.85</v>
      </c>
      <c r="J114" s="307"/>
      <c r="K114" s="307"/>
      <c r="L114" s="307"/>
      <c r="M114" s="308">
        <v>16693.77</v>
      </c>
      <c r="N114" s="304">
        <f t="shared" si="11"/>
        <v>1830366.3900000001</v>
      </c>
      <c r="O114" s="6"/>
      <c r="P114" s="11"/>
      <c r="Q114" s="11"/>
      <c r="S114" s="7"/>
      <c r="T114" s="7"/>
      <c r="U114" s="7"/>
      <c r="V114" s="7"/>
      <c r="W114" s="7"/>
      <c r="X114" s="7"/>
    </row>
    <row r="115" spans="1:24" ht="13.5" thickBot="1">
      <c r="A115" s="503"/>
      <c r="B115" s="313" t="s">
        <v>8</v>
      </c>
      <c r="C115" s="309">
        <f>1094744.6-54737.23</f>
        <v>1040007.3700000001</v>
      </c>
      <c r="D115" s="309">
        <v>328799.71</v>
      </c>
      <c r="E115" s="310">
        <v>83748.47</v>
      </c>
      <c r="F115" s="309">
        <f>229799.22</f>
        <v>229799.22</v>
      </c>
      <c r="G115" s="309">
        <v>144300.3</v>
      </c>
      <c r="H115" s="309">
        <v>244483.5</v>
      </c>
      <c r="I115" s="311">
        <v>190845.47</v>
      </c>
      <c r="J115" s="311"/>
      <c r="K115" s="311"/>
      <c r="L115" s="311"/>
      <c r="M115" s="312">
        <v>8781.5</v>
      </c>
      <c r="N115" s="304">
        <f t="shared" si="11"/>
        <v>2270765.54</v>
      </c>
      <c r="O115" s="6">
        <f>SUM(N114:N115)</f>
        <v>4101131.93</v>
      </c>
      <c r="P115" s="11"/>
      <c r="Q115" s="11"/>
      <c r="S115" s="7"/>
      <c r="T115" s="7"/>
      <c r="U115" s="7"/>
      <c r="V115" s="7"/>
      <c r="W115" s="7"/>
      <c r="X115" s="7"/>
    </row>
    <row r="116" spans="1:25" ht="12.75">
      <c r="A116" s="511" t="s">
        <v>55</v>
      </c>
      <c r="B116" s="318" t="s">
        <v>7</v>
      </c>
      <c r="C116" s="319">
        <f>328672.73</f>
        <v>328672.73</v>
      </c>
      <c r="D116" s="319">
        <v>4221.85</v>
      </c>
      <c r="E116" s="319">
        <v>0</v>
      </c>
      <c r="F116" s="319">
        <f>12873.78+1264063.81</f>
        <v>1276937.59</v>
      </c>
      <c r="G116" s="319">
        <f>2162.79</f>
        <v>2162.79</v>
      </c>
      <c r="H116" s="319">
        <v>0</v>
      </c>
      <c r="I116" s="320">
        <v>68807.18</v>
      </c>
      <c r="J116" s="320"/>
      <c r="K116" s="320"/>
      <c r="L116" s="320">
        <v>0</v>
      </c>
      <c r="M116" s="321">
        <v>11756.37</v>
      </c>
      <c r="N116" s="322">
        <f>SUM(B116:M116)</f>
        <v>1692558.51</v>
      </c>
      <c r="O116" s="6"/>
      <c r="S116" s="7"/>
      <c r="T116" s="7"/>
      <c r="U116" s="7"/>
      <c r="V116" s="7"/>
      <c r="W116" s="7"/>
      <c r="X116" s="7"/>
      <c r="Y116" s="6"/>
    </row>
    <row r="117" spans="1:25" ht="13.5" thickBot="1">
      <c r="A117" s="512"/>
      <c r="B117" s="323" t="s">
        <v>8</v>
      </c>
      <c r="C117" s="324">
        <f>1581863.45</f>
        <v>1581863.45</v>
      </c>
      <c r="D117" s="324">
        <v>357966.26</v>
      </c>
      <c r="E117" s="325">
        <v>248798.7</v>
      </c>
      <c r="F117" s="324">
        <f>165917.02</f>
        <v>165917.02</v>
      </c>
      <c r="G117" s="324">
        <f>160341</f>
        <v>160341</v>
      </c>
      <c r="H117" s="324">
        <v>441971.34</v>
      </c>
      <c r="I117" s="326">
        <v>270244.27</v>
      </c>
      <c r="J117" s="326"/>
      <c r="K117" s="326"/>
      <c r="L117" s="326">
        <v>0</v>
      </c>
      <c r="M117" s="327">
        <v>19720.16</v>
      </c>
      <c r="N117" s="322">
        <f>SUM(B117:M117)</f>
        <v>3246822.2</v>
      </c>
      <c r="O117" s="6">
        <f>SUM(N116:N117)</f>
        <v>4939380.71</v>
      </c>
      <c r="S117" s="7"/>
      <c r="T117" s="7"/>
      <c r="U117" s="7"/>
      <c r="V117" s="7"/>
      <c r="W117" s="7"/>
      <c r="X117" s="7"/>
      <c r="Y117" s="6"/>
    </row>
    <row r="118" spans="1:25" ht="12.75">
      <c r="A118" s="532" t="s">
        <v>70</v>
      </c>
      <c r="B118" s="333" t="s">
        <v>7</v>
      </c>
      <c r="C118" s="334">
        <v>86353.97</v>
      </c>
      <c r="D118" s="334">
        <v>694.72</v>
      </c>
      <c r="E118" s="334"/>
      <c r="F118" s="334">
        <f>25585.67+223921.52</f>
        <v>249507.19</v>
      </c>
      <c r="G118" s="334">
        <f>8524.41</f>
        <v>8524.41</v>
      </c>
      <c r="H118" s="334">
        <v>0</v>
      </c>
      <c r="I118" s="335">
        <v>33007.61</v>
      </c>
      <c r="J118" s="335"/>
      <c r="K118" s="335">
        <v>0</v>
      </c>
      <c r="L118" s="335">
        <v>0</v>
      </c>
      <c r="M118" s="336">
        <v>0</v>
      </c>
      <c r="N118" s="337">
        <f>SUM(B118:M118)</f>
        <v>378087.89999999997</v>
      </c>
      <c r="O118" s="6"/>
      <c r="S118" s="7"/>
      <c r="T118" s="7"/>
      <c r="U118" s="7"/>
      <c r="V118" s="7"/>
      <c r="W118" s="7"/>
      <c r="X118" s="7"/>
      <c r="Y118" s="6"/>
    </row>
    <row r="119" spans="1:25" ht="13.5" thickBot="1">
      <c r="A119" s="533"/>
      <c r="B119" s="338" t="s">
        <v>8</v>
      </c>
      <c r="C119" s="339">
        <v>1562034.65</v>
      </c>
      <c r="D119" s="339">
        <v>290980.51</v>
      </c>
      <c r="E119" s="340">
        <v>358962.74</v>
      </c>
      <c r="F119" s="339">
        <f>301652.74</f>
        <v>301652.74</v>
      </c>
      <c r="G119" s="339">
        <f>229371.55</f>
        <v>229371.55</v>
      </c>
      <c r="H119" s="339">
        <v>454274.67</v>
      </c>
      <c r="I119" s="341">
        <v>221739.33</v>
      </c>
      <c r="J119" s="341"/>
      <c r="K119" s="341">
        <v>1918.07</v>
      </c>
      <c r="L119" s="341">
        <v>0</v>
      </c>
      <c r="M119" s="342">
        <v>0</v>
      </c>
      <c r="N119" s="337">
        <f>SUM(B119:M119)</f>
        <v>3420934.2599999993</v>
      </c>
      <c r="O119" s="6">
        <f>SUM(N118:N119)</f>
        <v>3799022.159999999</v>
      </c>
      <c r="S119" s="7"/>
      <c r="T119" s="7"/>
      <c r="U119" s="7"/>
      <c r="V119" s="7"/>
      <c r="W119" s="7"/>
      <c r="X119" s="7"/>
      <c r="Y119" s="6"/>
    </row>
    <row r="120" spans="1:25" ht="12.75">
      <c r="A120" s="506" t="s">
        <v>84</v>
      </c>
      <c r="B120" s="347" t="s">
        <v>7</v>
      </c>
      <c r="C120" s="348">
        <v>234520.5</v>
      </c>
      <c r="D120" s="348">
        <v>446.93</v>
      </c>
      <c r="E120" s="348">
        <v>0</v>
      </c>
      <c r="F120" s="348">
        <f>15945.86+82312.61</f>
        <v>98258.47</v>
      </c>
      <c r="G120" s="348">
        <f>7270.45</f>
        <v>7270.45</v>
      </c>
      <c r="H120" s="348">
        <v>0</v>
      </c>
      <c r="I120" s="349">
        <v>17859.9</v>
      </c>
      <c r="J120" s="349"/>
      <c r="K120" s="349">
        <v>0</v>
      </c>
      <c r="L120" s="349">
        <v>0</v>
      </c>
      <c r="M120" s="350">
        <v>0</v>
      </c>
      <c r="N120" s="351">
        <f aca="true" t="shared" si="12" ref="N120:N125">SUM(C120:M120)</f>
        <v>358356.25000000006</v>
      </c>
      <c r="O120" s="6"/>
      <c r="S120" s="7"/>
      <c r="T120" s="7"/>
      <c r="U120" s="7"/>
      <c r="V120" s="7"/>
      <c r="W120" s="7"/>
      <c r="X120" s="7"/>
      <c r="Y120" s="6"/>
    </row>
    <row r="121" spans="1:25" ht="13.5" thickBot="1">
      <c r="A121" s="507" t="s">
        <v>82</v>
      </c>
      <c r="B121" s="352" t="s">
        <v>8</v>
      </c>
      <c r="C121" s="353">
        <v>1261185.41</v>
      </c>
      <c r="D121" s="353">
        <v>123657.89</v>
      </c>
      <c r="E121" s="354">
        <v>194721.15</v>
      </c>
      <c r="F121" s="353">
        <f>212851.59</f>
        <v>212851.59</v>
      </c>
      <c r="G121" s="353">
        <f>175434.36</f>
        <v>175434.36</v>
      </c>
      <c r="H121" s="353">
        <v>239046</v>
      </c>
      <c r="I121" s="355">
        <v>135615.53</v>
      </c>
      <c r="J121" s="355"/>
      <c r="K121" s="355">
        <v>1353.17</v>
      </c>
      <c r="L121" s="355">
        <v>0</v>
      </c>
      <c r="M121" s="356">
        <v>0</v>
      </c>
      <c r="N121" s="351">
        <f t="shared" si="12"/>
        <v>2343865.0999999996</v>
      </c>
      <c r="O121" s="6">
        <f>SUM(N120:N121)</f>
        <v>2702221.3499999996</v>
      </c>
      <c r="S121" s="7"/>
      <c r="T121" s="7"/>
      <c r="U121" s="7"/>
      <c r="V121" s="7"/>
      <c r="W121" s="7"/>
      <c r="X121" s="7"/>
      <c r="Y121" s="6"/>
    </row>
    <row r="122" spans="1:25" ht="12.75">
      <c r="A122" s="513" t="s">
        <v>98</v>
      </c>
      <c r="B122" s="357" t="s">
        <v>7</v>
      </c>
      <c r="C122" s="358">
        <v>244564.68</v>
      </c>
      <c r="D122" s="358">
        <v>3033.25</v>
      </c>
      <c r="E122" s="358">
        <v>0</v>
      </c>
      <c r="F122" s="358">
        <f>49711.45+67454.36</f>
        <v>117165.81</v>
      </c>
      <c r="G122" s="358">
        <v>11397.42</v>
      </c>
      <c r="H122" s="358">
        <v>0</v>
      </c>
      <c r="I122" s="359">
        <v>22848.43</v>
      </c>
      <c r="J122" s="359"/>
      <c r="K122" s="359">
        <v>0</v>
      </c>
      <c r="L122" s="359">
        <v>0</v>
      </c>
      <c r="M122" s="360">
        <v>0</v>
      </c>
      <c r="N122" s="361">
        <f t="shared" si="12"/>
        <v>399009.58999999997</v>
      </c>
      <c r="O122" s="6"/>
      <c r="S122" s="7"/>
      <c r="T122" s="7"/>
      <c r="U122" s="7"/>
      <c r="V122" s="7"/>
      <c r="W122" s="7"/>
      <c r="X122" s="7"/>
      <c r="Y122" s="6"/>
    </row>
    <row r="123" spans="1:25" ht="13.5" thickBot="1">
      <c r="A123" s="514" t="s">
        <v>82</v>
      </c>
      <c r="B123" s="362" t="s">
        <v>8</v>
      </c>
      <c r="C123" s="363">
        <v>1598013.7</v>
      </c>
      <c r="D123" s="363">
        <v>203683.76</v>
      </c>
      <c r="E123" s="364">
        <v>312548.06</v>
      </c>
      <c r="F123" s="363">
        <v>262139.02</v>
      </c>
      <c r="G123" s="363">
        <v>243944.39</v>
      </c>
      <c r="H123" s="363">
        <v>465083.41</v>
      </c>
      <c r="I123" s="365">
        <v>163762.56</v>
      </c>
      <c r="J123" s="365"/>
      <c r="K123" s="365">
        <v>2752.85</v>
      </c>
      <c r="L123" s="365">
        <v>0</v>
      </c>
      <c r="M123" s="366">
        <v>0</v>
      </c>
      <c r="N123" s="361">
        <f t="shared" si="12"/>
        <v>3251927.7500000005</v>
      </c>
      <c r="O123" s="6">
        <f>SUM(N122:N123)</f>
        <v>3650937.3400000003</v>
      </c>
      <c r="S123" s="7"/>
      <c r="T123" s="7"/>
      <c r="U123" s="7"/>
      <c r="V123" s="7"/>
      <c r="W123" s="7"/>
      <c r="X123" s="7"/>
      <c r="Y123" s="6"/>
    </row>
    <row r="124" spans="1:25" ht="12.75">
      <c r="A124" s="525">
        <v>40969</v>
      </c>
      <c r="B124" s="367" t="s">
        <v>7</v>
      </c>
      <c r="C124" s="368">
        <v>256906.66</v>
      </c>
      <c r="D124" s="368">
        <v>0</v>
      </c>
      <c r="E124" s="368">
        <v>0</v>
      </c>
      <c r="F124" s="368">
        <f>128295+58049.05-58049.05+19170.2</f>
        <v>147465.19999999998</v>
      </c>
      <c r="G124" s="368">
        <f>19170.2-19170.2+58049.05</f>
        <v>58049.05</v>
      </c>
      <c r="H124" s="368">
        <v>0</v>
      </c>
      <c r="I124" s="369">
        <v>45302.7</v>
      </c>
      <c r="J124" s="369"/>
      <c r="K124" s="369">
        <v>0</v>
      </c>
      <c r="L124" s="369">
        <v>0</v>
      </c>
      <c r="M124" s="370">
        <v>0</v>
      </c>
      <c r="N124" s="371">
        <f t="shared" si="12"/>
        <v>507723.61</v>
      </c>
      <c r="O124" s="6"/>
      <c r="S124" s="7"/>
      <c r="T124" s="7"/>
      <c r="U124" s="7"/>
      <c r="V124" s="7"/>
      <c r="W124" s="7"/>
      <c r="X124" s="7"/>
      <c r="Y124" s="6"/>
    </row>
    <row r="125" spans="1:25" ht="13.5" thickBot="1">
      <c r="A125" s="526"/>
      <c r="B125" s="372" t="s">
        <v>8</v>
      </c>
      <c r="C125" s="373">
        <v>2412561.78</v>
      </c>
      <c r="D125" s="373">
        <v>257072.6</v>
      </c>
      <c r="E125" s="373">
        <v>420051.51</v>
      </c>
      <c r="F125" s="373">
        <v>189041.56</v>
      </c>
      <c r="G125" s="373">
        <v>216864.03</v>
      </c>
      <c r="H125" s="373">
        <v>528932.11</v>
      </c>
      <c r="I125" s="374">
        <v>249696.45</v>
      </c>
      <c r="J125" s="374"/>
      <c r="K125" s="374">
        <v>3148.94</v>
      </c>
      <c r="L125" s="374">
        <v>0</v>
      </c>
      <c r="M125" s="375">
        <v>0</v>
      </c>
      <c r="N125" s="371">
        <f t="shared" si="12"/>
        <v>4277368.9799999995</v>
      </c>
      <c r="O125" s="6">
        <f>SUM(N124:N125)</f>
        <v>4785092.59</v>
      </c>
      <c r="S125" s="7"/>
      <c r="T125" s="7"/>
      <c r="U125" s="7"/>
      <c r="V125" s="7"/>
      <c r="W125" s="7"/>
      <c r="X125" s="7"/>
      <c r="Y125" s="6"/>
    </row>
    <row r="126" spans="1:25" ht="12.75">
      <c r="A126" s="521">
        <v>41334</v>
      </c>
      <c r="B126" s="390" t="s">
        <v>7</v>
      </c>
      <c r="C126" s="391">
        <v>409979.47</v>
      </c>
      <c r="D126" s="391">
        <v>0</v>
      </c>
      <c r="E126" s="391">
        <v>0</v>
      </c>
      <c r="F126" s="391">
        <f>148897.63+90957.16</f>
        <v>239854.79</v>
      </c>
      <c r="G126" s="391">
        <f>11486.34</f>
        <v>11486.34</v>
      </c>
      <c r="H126" s="391">
        <v>0</v>
      </c>
      <c r="I126" s="392">
        <v>35364.09</v>
      </c>
      <c r="J126" s="392">
        <v>0</v>
      </c>
      <c r="K126" s="392">
        <v>0</v>
      </c>
      <c r="L126" s="392">
        <v>0</v>
      </c>
      <c r="M126" s="393">
        <v>0</v>
      </c>
      <c r="N126" s="394">
        <f aca="true" t="shared" si="13" ref="N126:N131">SUM(C126:M126)</f>
        <v>696684.69</v>
      </c>
      <c r="O126" s="6"/>
      <c r="S126" s="7"/>
      <c r="T126" s="7"/>
      <c r="U126" s="7"/>
      <c r="V126" s="7"/>
      <c r="W126" s="7"/>
      <c r="X126" s="7"/>
      <c r="Y126" s="6"/>
    </row>
    <row r="127" spans="1:25" ht="13.5" thickBot="1">
      <c r="A127" s="531"/>
      <c r="B127" s="395" t="s">
        <v>8</v>
      </c>
      <c r="C127" s="396">
        <v>2692033.15</v>
      </c>
      <c r="D127" s="396">
        <v>380097.92</v>
      </c>
      <c r="E127" s="396">
        <v>499510.06</v>
      </c>
      <c r="F127" s="396">
        <f>369195.4</f>
        <v>369195.4</v>
      </c>
      <c r="G127" s="396">
        <f>255537.27</f>
        <v>255537.27</v>
      </c>
      <c r="H127" s="396">
        <v>526793.24</v>
      </c>
      <c r="I127" s="397">
        <v>322728.37</v>
      </c>
      <c r="J127" s="397">
        <v>117692.5</v>
      </c>
      <c r="K127" s="397">
        <v>8416.73</v>
      </c>
      <c r="L127" s="397">
        <v>0</v>
      </c>
      <c r="M127" s="398">
        <v>0</v>
      </c>
      <c r="N127" s="394">
        <f t="shared" si="13"/>
        <v>5172004.640000001</v>
      </c>
      <c r="O127" s="6">
        <f>SUM(N126:N127)</f>
        <v>5868689.33</v>
      </c>
      <c r="S127" s="7"/>
      <c r="T127" s="7"/>
      <c r="U127" s="7"/>
      <c r="V127" s="7"/>
      <c r="W127" s="7"/>
      <c r="X127" s="7"/>
      <c r="Y127" s="6"/>
    </row>
    <row r="128" spans="1:25" ht="12.75">
      <c r="A128" s="515">
        <v>41699</v>
      </c>
      <c r="B128" s="403" t="s">
        <v>7</v>
      </c>
      <c r="C128" s="404">
        <f>255824.21+13406.46</f>
        <v>269230.67</v>
      </c>
      <c r="D128" s="404">
        <v>0</v>
      </c>
      <c r="E128" s="404">
        <v>0</v>
      </c>
      <c r="F128" s="404">
        <f>80089.74+48223.23</f>
        <v>128312.97</v>
      </c>
      <c r="G128" s="404">
        <f>51817.77</f>
        <v>51817.77</v>
      </c>
      <c r="H128" s="404">
        <v>0</v>
      </c>
      <c r="I128" s="405">
        <v>29307.62</v>
      </c>
      <c r="J128" s="405">
        <v>0</v>
      </c>
      <c r="K128" s="405">
        <v>0</v>
      </c>
      <c r="L128" s="405">
        <v>0</v>
      </c>
      <c r="M128" s="406">
        <v>0</v>
      </c>
      <c r="N128" s="407">
        <f t="shared" si="13"/>
        <v>478669.03</v>
      </c>
      <c r="S128" s="7"/>
      <c r="T128" s="7"/>
      <c r="U128" s="7"/>
      <c r="V128" s="7"/>
      <c r="W128" s="7"/>
      <c r="X128" s="7"/>
      <c r="Y128" s="6"/>
    </row>
    <row r="129" spans="1:25" ht="13.5" thickBot="1">
      <c r="A129" s="516"/>
      <c r="B129" s="408" t="s">
        <v>8</v>
      </c>
      <c r="C129" s="409">
        <f>2710464.76+268442.96</f>
        <v>2978907.7199999997</v>
      </c>
      <c r="D129" s="409">
        <v>337915.49</v>
      </c>
      <c r="E129" s="409">
        <v>613876.88</v>
      </c>
      <c r="F129" s="409">
        <f>403911.15</f>
        <v>403911.15</v>
      </c>
      <c r="G129" s="409">
        <f>263678.79</f>
        <v>263678.79</v>
      </c>
      <c r="H129" s="409">
        <v>642987.94</v>
      </c>
      <c r="I129" s="410">
        <v>437011.45</v>
      </c>
      <c r="J129" s="410">
        <v>106355.4</v>
      </c>
      <c r="K129" s="410">
        <v>3286.76</v>
      </c>
      <c r="L129" s="410">
        <v>0</v>
      </c>
      <c r="M129" s="411">
        <v>0</v>
      </c>
      <c r="N129" s="407">
        <f t="shared" si="13"/>
        <v>5787931.580000001</v>
      </c>
      <c r="O129" s="6">
        <f>SUM(N128:N129)</f>
        <v>6266600.610000001</v>
      </c>
      <c r="S129" s="7"/>
      <c r="T129" s="7"/>
      <c r="U129" s="7"/>
      <c r="V129" s="7"/>
      <c r="W129" s="7"/>
      <c r="X129" s="7"/>
      <c r="Y129" s="6"/>
    </row>
    <row r="130" spans="1:25" ht="12.75">
      <c r="A130" s="495">
        <v>42064</v>
      </c>
      <c r="B130" s="416" t="s">
        <v>7</v>
      </c>
      <c r="C130" s="417">
        <f>196380.73+7042.65</f>
        <v>203423.38</v>
      </c>
      <c r="D130" s="417">
        <v>0</v>
      </c>
      <c r="E130" s="417">
        <v>0</v>
      </c>
      <c r="F130" s="417">
        <f>78330.34+57653</f>
        <v>135983.34</v>
      </c>
      <c r="G130" s="417">
        <f>45402.89</f>
        <v>45402.89</v>
      </c>
      <c r="H130" s="417">
        <v>0</v>
      </c>
      <c r="I130" s="418">
        <v>35202.79</v>
      </c>
      <c r="J130" s="418">
        <v>0</v>
      </c>
      <c r="K130" s="418">
        <v>0</v>
      </c>
      <c r="L130" s="418">
        <v>0</v>
      </c>
      <c r="M130" s="419">
        <v>0</v>
      </c>
      <c r="N130" s="420">
        <f t="shared" si="13"/>
        <v>420012.39999999997</v>
      </c>
      <c r="O130" s="6"/>
      <c r="S130" s="7"/>
      <c r="T130" s="7"/>
      <c r="U130" s="7"/>
      <c r="V130" s="7"/>
      <c r="W130" s="7"/>
      <c r="X130" s="7"/>
      <c r="Y130" s="6"/>
    </row>
    <row r="131" spans="1:25" ht="13.5" thickBot="1">
      <c r="A131" s="496"/>
      <c r="B131" s="421" t="s">
        <v>8</v>
      </c>
      <c r="C131" s="422">
        <f>2919835.49+358625.42</f>
        <v>3278460.91</v>
      </c>
      <c r="D131" s="422">
        <v>467560.63</v>
      </c>
      <c r="E131" s="423">
        <v>581198.17</v>
      </c>
      <c r="F131" s="422">
        <f>6676.93+440271.64</f>
        <v>446948.57</v>
      </c>
      <c r="G131" s="422">
        <f>247117.07</f>
        <v>247117.07</v>
      </c>
      <c r="H131" s="422">
        <v>659578.76</v>
      </c>
      <c r="I131" s="424">
        <v>496902.1</v>
      </c>
      <c r="J131" s="424">
        <v>219087.66</v>
      </c>
      <c r="K131" s="424">
        <v>5321.19</v>
      </c>
      <c r="L131" s="424">
        <v>0</v>
      </c>
      <c r="M131" s="425">
        <v>0</v>
      </c>
      <c r="N131" s="420">
        <f t="shared" si="13"/>
        <v>6402175.0600000005</v>
      </c>
      <c r="O131" s="6">
        <f>SUM(N130:N131)</f>
        <v>6822187.460000001</v>
      </c>
      <c r="S131" s="7"/>
      <c r="T131" s="7"/>
      <c r="U131" s="7"/>
      <c r="V131" s="7"/>
      <c r="W131" s="7"/>
      <c r="X131" s="7"/>
      <c r="Y131" s="6"/>
    </row>
    <row r="132" spans="1:25" ht="12.75">
      <c r="A132" s="511" t="s">
        <v>130</v>
      </c>
      <c r="B132" s="427" t="s">
        <v>7</v>
      </c>
      <c r="C132" s="428">
        <f>190115.47+2664.88</f>
        <v>192780.35</v>
      </c>
      <c r="D132" s="428">
        <v>0</v>
      </c>
      <c r="E132" s="428">
        <v>0</v>
      </c>
      <c r="F132" s="428">
        <v>4624.62</v>
      </c>
      <c r="G132" s="428">
        <v>0</v>
      </c>
      <c r="H132" s="428">
        <v>0</v>
      </c>
      <c r="I132" s="429">
        <f>19489.33</f>
        <v>19489.33</v>
      </c>
      <c r="J132" s="429">
        <v>0</v>
      </c>
      <c r="K132" s="429">
        <v>0</v>
      </c>
      <c r="L132" s="429">
        <v>0</v>
      </c>
      <c r="M132" s="430">
        <v>0</v>
      </c>
      <c r="N132" s="431">
        <f aca="true" t="shared" si="14" ref="N132:N137">SUM(C132:M132)</f>
        <v>216894.3</v>
      </c>
      <c r="O132" s="6"/>
      <c r="S132" s="7"/>
      <c r="T132" s="7"/>
      <c r="U132" s="7"/>
      <c r="V132" s="7"/>
      <c r="W132" s="7"/>
      <c r="X132" s="7"/>
      <c r="Y132" s="6"/>
    </row>
    <row r="133" spans="1:25" ht="13.5" thickBot="1">
      <c r="A133" s="512"/>
      <c r="B133" s="432" t="s">
        <v>8</v>
      </c>
      <c r="C133" s="433">
        <f>2594504.58+311586.59</f>
        <v>2906091.17</v>
      </c>
      <c r="D133" s="433">
        <v>309006.49</v>
      </c>
      <c r="E133" s="434">
        <v>508285.04</v>
      </c>
      <c r="F133" s="433">
        <v>339117.7</v>
      </c>
      <c r="G133" s="433">
        <v>308625.3</v>
      </c>
      <c r="H133" s="433">
        <v>1067764.28</v>
      </c>
      <c r="I133" s="435">
        <v>385617.72</v>
      </c>
      <c r="J133" s="435">
        <v>218482.97</v>
      </c>
      <c r="K133" s="435">
        <v>6853.27</v>
      </c>
      <c r="L133" s="435">
        <v>0</v>
      </c>
      <c r="M133" s="436">
        <v>0</v>
      </c>
      <c r="N133" s="431">
        <f t="shared" si="14"/>
        <v>6049843.9399999995</v>
      </c>
      <c r="O133" s="6">
        <f>SUM(N132:N133)</f>
        <v>6266738.239999999</v>
      </c>
      <c r="S133" s="7"/>
      <c r="T133" s="7"/>
      <c r="U133" s="7"/>
      <c r="V133" s="7"/>
      <c r="W133" s="7"/>
      <c r="X133" s="7"/>
      <c r="Y133" s="6"/>
    </row>
    <row r="134" spans="1:25" ht="12.75">
      <c r="A134" s="500" t="s">
        <v>144</v>
      </c>
      <c r="B134" s="438" t="s">
        <v>7</v>
      </c>
      <c r="C134" s="439">
        <v>217063.50000000012</v>
      </c>
      <c r="D134" s="439">
        <v>0</v>
      </c>
      <c r="E134" s="440">
        <v>0</v>
      </c>
      <c r="F134" s="439">
        <v>29111.37</v>
      </c>
      <c r="G134" s="439">
        <v>26808.33</v>
      </c>
      <c r="H134" s="439">
        <v>0</v>
      </c>
      <c r="I134" s="441">
        <v>7569.61</v>
      </c>
      <c r="J134" s="441">
        <v>0</v>
      </c>
      <c r="K134" s="441">
        <v>0</v>
      </c>
      <c r="L134" s="441">
        <v>0</v>
      </c>
      <c r="M134" s="442">
        <v>0</v>
      </c>
      <c r="N134" s="443">
        <f t="shared" si="14"/>
        <v>280552.8100000001</v>
      </c>
      <c r="O134" s="6"/>
      <c r="S134" s="7"/>
      <c r="T134" s="7"/>
      <c r="U134" s="7"/>
      <c r="V134" s="7"/>
      <c r="W134" s="7"/>
      <c r="X134" s="7"/>
      <c r="Y134" s="6"/>
    </row>
    <row r="135" spans="1:25" ht="13.5" thickBot="1">
      <c r="A135" s="501"/>
      <c r="B135" s="444" t="s">
        <v>8</v>
      </c>
      <c r="C135" s="445">
        <v>3417373.8800000004</v>
      </c>
      <c r="D135" s="445">
        <v>434698.2800000001</v>
      </c>
      <c r="E135" s="446">
        <v>523907.6</v>
      </c>
      <c r="F135" s="445">
        <v>196193.52</v>
      </c>
      <c r="G135" s="445">
        <v>263548.08</v>
      </c>
      <c r="H135" s="445">
        <v>864327.55</v>
      </c>
      <c r="I135" s="447">
        <v>508981.92</v>
      </c>
      <c r="J135" s="447">
        <v>142502.49</v>
      </c>
      <c r="K135" s="447">
        <v>5677.86</v>
      </c>
      <c r="L135" s="447">
        <v>0</v>
      </c>
      <c r="M135" s="448">
        <v>0</v>
      </c>
      <c r="N135" s="443">
        <f t="shared" si="14"/>
        <v>6357211.180000001</v>
      </c>
      <c r="O135" s="6">
        <f>SUM(N134:N135)</f>
        <v>6637763.990000001</v>
      </c>
      <c r="S135" s="7"/>
      <c r="T135" s="7"/>
      <c r="U135" s="7"/>
      <c r="V135" s="7"/>
      <c r="W135" s="7"/>
      <c r="X135" s="7"/>
      <c r="Y135" s="6"/>
    </row>
    <row r="136" spans="1:25" ht="12.75">
      <c r="A136" s="508" t="s">
        <v>157</v>
      </c>
      <c r="B136" s="449" t="s">
        <v>7</v>
      </c>
      <c r="C136" s="450">
        <v>227537.9600000002</v>
      </c>
      <c r="D136" s="450"/>
      <c r="E136" s="451"/>
      <c r="F136" s="450">
        <v>35505.07</v>
      </c>
      <c r="G136" s="450">
        <v>38715.28</v>
      </c>
      <c r="H136" s="450"/>
      <c r="I136" s="452">
        <v>3916.2599999999998</v>
      </c>
      <c r="J136" s="452"/>
      <c r="K136" s="452"/>
      <c r="L136" s="452"/>
      <c r="M136" s="453"/>
      <c r="N136" s="454">
        <f t="shared" si="14"/>
        <v>305674.5700000002</v>
      </c>
      <c r="O136" s="6"/>
      <c r="S136" s="7"/>
      <c r="T136" s="7"/>
      <c r="U136" s="7"/>
      <c r="V136" s="7"/>
      <c r="W136" s="7"/>
      <c r="X136" s="7"/>
      <c r="Y136" s="6"/>
    </row>
    <row r="137" spans="1:25" ht="13.5" thickBot="1">
      <c r="A137" s="509"/>
      <c r="B137" s="455" t="s">
        <v>8</v>
      </c>
      <c r="C137" s="456">
        <v>4115169.9199999953</v>
      </c>
      <c r="D137" s="456">
        <v>455275.69</v>
      </c>
      <c r="E137" s="457">
        <v>687162.26</v>
      </c>
      <c r="F137" s="456">
        <v>320141.13</v>
      </c>
      <c r="G137" s="456">
        <v>202223.13</v>
      </c>
      <c r="H137" s="456">
        <v>1069105.93</v>
      </c>
      <c r="I137" s="458">
        <v>593525.32</v>
      </c>
      <c r="J137" s="458">
        <v>143647.66</v>
      </c>
      <c r="K137" s="458">
        <v>4802.83</v>
      </c>
      <c r="L137" s="458"/>
      <c r="M137" s="459"/>
      <c r="N137" s="454">
        <f t="shared" si="14"/>
        <v>7591053.869999995</v>
      </c>
      <c r="O137" s="6">
        <f>SUM(N136:N137)</f>
        <v>7896728.439999996</v>
      </c>
      <c r="S137" s="7"/>
      <c r="T137" s="7"/>
      <c r="U137" s="7"/>
      <c r="V137" s="7"/>
      <c r="W137" s="7"/>
      <c r="X137" s="7"/>
      <c r="Y137" s="6"/>
    </row>
    <row r="138" spans="1:25" ht="12.75">
      <c r="A138" s="498" t="s">
        <v>172</v>
      </c>
      <c r="B138" s="462" t="s">
        <v>7</v>
      </c>
      <c r="C138" s="463">
        <v>205870.08000000007</v>
      </c>
      <c r="D138" s="463">
        <v>0</v>
      </c>
      <c r="E138" s="464">
        <v>0</v>
      </c>
      <c r="F138" s="463">
        <v>29500.71</v>
      </c>
      <c r="G138" s="463">
        <v>19664.63</v>
      </c>
      <c r="H138" s="463">
        <v>0</v>
      </c>
      <c r="I138" s="465">
        <v>1437.27</v>
      </c>
      <c r="J138" s="465">
        <v>0</v>
      </c>
      <c r="K138" s="465">
        <v>0</v>
      </c>
      <c r="L138" s="465">
        <v>0</v>
      </c>
      <c r="M138" s="466">
        <v>0</v>
      </c>
      <c r="N138" s="467">
        <f aca="true" t="shared" si="15" ref="N138:N143">SUM(C138:M138)</f>
        <v>256472.69000000006</v>
      </c>
      <c r="O138" s="6"/>
      <c r="S138" s="7"/>
      <c r="T138" s="7"/>
      <c r="U138" s="7"/>
      <c r="V138" s="7"/>
      <c r="W138" s="7"/>
      <c r="X138" s="7"/>
      <c r="Y138" s="6"/>
    </row>
    <row r="139" spans="1:25" ht="13.5" thickBot="1">
      <c r="A139" s="499"/>
      <c r="B139" s="468" t="s">
        <v>8</v>
      </c>
      <c r="C139" s="469">
        <v>4191229.5199999865</v>
      </c>
      <c r="D139" s="469">
        <v>560278.1</v>
      </c>
      <c r="E139" s="470">
        <v>872690.27</v>
      </c>
      <c r="F139" s="469">
        <v>372952.4</v>
      </c>
      <c r="G139" s="469">
        <v>300488.55</v>
      </c>
      <c r="H139" s="469">
        <v>1352742.43</v>
      </c>
      <c r="I139" s="471">
        <v>646221.68</v>
      </c>
      <c r="J139" s="471"/>
      <c r="K139" s="471">
        <v>3742.32</v>
      </c>
      <c r="L139" s="471">
        <v>0</v>
      </c>
      <c r="M139" s="472">
        <v>0</v>
      </c>
      <c r="N139" s="467">
        <f t="shared" si="15"/>
        <v>8300345.269999986</v>
      </c>
      <c r="O139" s="6">
        <f>SUM(N138:N139)</f>
        <v>8556817.959999986</v>
      </c>
      <c r="S139" s="7"/>
      <c r="T139" s="7"/>
      <c r="U139" s="7"/>
      <c r="V139" s="7"/>
      <c r="W139" s="7"/>
      <c r="X139" s="7"/>
      <c r="Y139" s="6"/>
    </row>
    <row r="140" spans="1:25" ht="12.75">
      <c r="A140" s="493" t="s">
        <v>194</v>
      </c>
      <c r="B140" s="473" t="s">
        <v>7</v>
      </c>
      <c r="C140" s="474">
        <v>118673.23000000007</v>
      </c>
      <c r="D140" s="474">
        <v>0</v>
      </c>
      <c r="E140" s="474">
        <v>0</v>
      </c>
      <c r="F140" s="474">
        <v>10893.91</v>
      </c>
      <c r="G140" s="474">
        <v>8723.27</v>
      </c>
      <c r="H140" s="474">
        <v>0</v>
      </c>
      <c r="I140" s="475">
        <v>990.3</v>
      </c>
      <c r="J140" s="475">
        <v>0</v>
      </c>
      <c r="K140" s="475">
        <v>0</v>
      </c>
      <c r="L140" s="475">
        <v>0</v>
      </c>
      <c r="M140" s="476">
        <v>0</v>
      </c>
      <c r="N140" s="477">
        <f t="shared" si="15"/>
        <v>139280.71000000005</v>
      </c>
      <c r="O140" s="6"/>
      <c r="S140" s="7"/>
      <c r="T140" s="7"/>
      <c r="U140" s="7"/>
      <c r="V140" s="7"/>
      <c r="W140" s="7"/>
      <c r="X140" s="7"/>
      <c r="Y140" s="6"/>
    </row>
    <row r="141" spans="1:25" ht="13.5" thickBot="1">
      <c r="A141" s="494"/>
      <c r="B141" s="478" t="s">
        <v>8</v>
      </c>
      <c r="C141" s="479">
        <v>2838676.7699999926</v>
      </c>
      <c r="D141" s="479">
        <v>556463.64</v>
      </c>
      <c r="E141" s="480">
        <v>549400.71</v>
      </c>
      <c r="F141" s="479">
        <v>164769.77</v>
      </c>
      <c r="G141" s="479">
        <v>148268.81</v>
      </c>
      <c r="H141" s="479">
        <v>983066.3999999992</v>
      </c>
      <c r="I141" s="481">
        <v>455586.69</v>
      </c>
      <c r="J141" s="481">
        <v>0</v>
      </c>
      <c r="K141" s="481">
        <v>-457.96</v>
      </c>
      <c r="L141" s="481">
        <v>0</v>
      </c>
      <c r="M141" s="482">
        <v>0</v>
      </c>
      <c r="N141" s="477">
        <f t="shared" si="15"/>
        <v>5695774.829999993</v>
      </c>
      <c r="O141" s="6">
        <f>SUM(N140:N141)</f>
        <v>5835055.539999993</v>
      </c>
      <c r="S141" s="7"/>
      <c r="T141" s="7"/>
      <c r="U141" s="7"/>
      <c r="V141" s="7"/>
      <c r="W141" s="7"/>
      <c r="X141" s="7"/>
      <c r="Y141" s="6"/>
    </row>
    <row r="142" spans="1:25" ht="12.75">
      <c r="A142" s="538" t="s">
        <v>209</v>
      </c>
      <c r="B142" s="483" t="s">
        <v>7</v>
      </c>
      <c r="C142" s="484"/>
      <c r="D142" s="484">
        <v>0</v>
      </c>
      <c r="E142" s="484">
        <v>0</v>
      </c>
      <c r="F142" s="484"/>
      <c r="G142" s="484"/>
      <c r="H142" s="484">
        <v>0</v>
      </c>
      <c r="I142" s="485"/>
      <c r="J142" s="485">
        <v>0</v>
      </c>
      <c r="K142" s="485">
        <v>0</v>
      </c>
      <c r="L142" s="485">
        <v>0</v>
      </c>
      <c r="M142" s="486">
        <v>0</v>
      </c>
      <c r="N142" s="487">
        <f t="shared" si="15"/>
        <v>0</v>
      </c>
      <c r="O142" s="6"/>
      <c r="S142" s="7"/>
      <c r="T142" s="7"/>
      <c r="U142" s="7"/>
      <c r="V142" s="7"/>
      <c r="W142" s="7"/>
      <c r="X142" s="7"/>
      <c r="Y142" s="6"/>
    </row>
    <row r="143" spans="1:25" ht="13.5" thickBot="1">
      <c r="A143" s="539"/>
      <c r="B143" s="488" t="s">
        <v>8</v>
      </c>
      <c r="C143" s="489"/>
      <c r="D143" s="489"/>
      <c r="E143" s="490"/>
      <c r="F143" s="489"/>
      <c r="G143" s="489"/>
      <c r="H143" s="489"/>
      <c r="I143" s="491"/>
      <c r="J143" s="491">
        <v>0</v>
      </c>
      <c r="K143" s="491"/>
      <c r="L143" s="491">
        <v>0</v>
      </c>
      <c r="M143" s="492">
        <v>0</v>
      </c>
      <c r="N143" s="487">
        <f t="shared" si="15"/>
        <v>0</v>
      </c>
      <c r="O143" s="6">
        <f>SUM(N142:N143)</f>
        <v>0</v>
      </c>
      <c r="S143" s="7"/>
      <c r="T143" s="7"/>
      <c r="U143" s="7"/>
      <c r="V143" s="7"/>
      <c r="W143" s="7"/>
      <c r="X143" s="7"/>
      <c r="Y143" s="6"/>
    </row>
    <row r="144" spans="1:24" ht="12.75">
      <c r="A144" s="536">
        <v>36251</v>
      </c>
      <c r="B144" s="49" t="s">
        <v>7</v>
      </c>
      <c r="C144" s="72">
        <v>793084</v>
      </c>
      <c r="D144" s="72">
        <v>53351</v>
      </c>
      <c r="E144" s="72">
        <v>16228</v>
      </c>
      <c r="F144" s="72">
        <v>1995489</v>
      </c>
      <c r="G144" s="72"/>
      <c r="H144" s="72"/>
      <c r="I144" s="96">
        <v>0</v>
      </c>
      <c r="J144" s="96"/>
      <c r="K144" s="96"/>
      <c r="L144" s="96"/>
      <c r="M144" s="50">
        <v>35767</v>
      </c>
      <c r="N144" s="5">
        <f aca="true" t="shared" si="16" ref="N144:N155">SUM(C144:M144)</f>
        <v>2893919</v>
      </c>
      <c r="P144" s="11"/>
      <c r="Q144" s="11"/>
      <c r="S144" s="7"/>
      <c r="T144" s="7"/>
      <c r="U144" s="7"/>
      <c r="V144" s="7"/>
      <c r="W144" s="7"/>
      <c r="X144" s="7"/>
    </row>
    <row r="145" spans="1:24" ht="13.5" thickBot="1">
      <c r="A145" s="537"/>
      <c r="B145" s="51" t="s">
        <v>8</v>
      </c>
      <c r="C145" s="73">
        <v>41271</v>
      </c>
      <c r="D145" s="73">
        <v>0</v>
      </c>
      <c r="E145" s="73">
        <v>557</v>
      </c>
      <c r="F145" s="73">
        <v>32686</v>
      </c>
      <c r="G145" s="73"/>
      <c r="H145" s="73"/>
      <c r="I145" s="97">
        <v>1610.84</v>
      </c>
      <c r="J145" s="97"/>
      <c r="K145" s="97"/>
      <c r="L145" s="97"/>
      <c r="M145" s="52">
        <v>0</v>
      </c>
      <c r="N145" s="5">
        <f t="shared" si="16"/>
        <v>76124.84</v>
      </c>
      <c r="O145" s="6">
        <f>SUM(N144:N145)</f>
        <v>2970043.84</v>
      </c>
      <c r="S145" s="7"/>
      <c r="T145" s="7"/>
      <c r="U145" s="7"/>
      <c r="V145" s="7"/>
      <c r="W145" s="7"/>
      <c r="X145" s="7"/>
    </row>
    <row r="146" spans="1:24" ht="12.75">
      <c r="A146" s="535">
        <v>36617</v>
      </c>
      <c r="B146" s="53" t="s">
        <v>7</v>
      </c>
      <c r="C146" s="74">
        <f>'[1]2000'!C14</f>
        <v>799820.35</v>
      </c>
      <c r="D146" s="74">
        <f>'[1]2000'!D14</f>
        <v>32446.43</v>
      </c>
      <c r="E146" s="74">
        <f>'[1]2000'!E14</f>
        <v>16391.94</v>
      </c>
      <c r="F146" s="74">
        <f>'[1]2000'!F14</f>
        <v>1770085</v>
      </c>
      <c r="G146" s="74"/>
      <c r="H146" s="74"/>
      <c r="I146" s="98">
        <f>'[1]2000'!G14</f>
        <v>36315</v>
      </c>
      <c r="J146" s="98"/>
      <c r="K146" s="98"/>
      <c r="L146" s="98"/>
      <c r="M146" s="54">
        <f>'[1]2000'!H14</f>
        <v>15380.12</v>
      </c>
      <c r="N146" s="8">
        <f t="shared" si="16"/>
        <v>2670438.84</v>
      </c>
      <c r="O146" s="6"/>
      <c r="S146" s="7"/>
      <c r="T146" s="7"/>
      <c r="U146" s="7"/>
      <c r="V146" s="7"/>
      <c r="W146" s="7"/>
      <c r="X146" s="7"/>
    </row>
    <row r="147" spans="1:24" ht="12.75">
      <c r="A147" s="535"/>
      <c r="B147" s="40" t="s">
        <v>8</v>
      </c>
      <c r="C147" s="82">
        <f>'[1]2000'!C15</f>
        <v>42095.81</v>
      </c>
      <c r="D147" s="82">
        <f>'[1]2000'!D15</f>
        <v>0</v>
      </c>
      <c r="E147" s="82">
        <f>'[1]2000'!E15</f>
        <v>2117.6</v>
      </c>
      <c r="F147" s="82">
        <f>'[1]2000'!F15</f>
        <v>139101.71</v>
      </c>
      <c r="G147" s="82"/>
      <c r="H147" s="82"/>
      <c r="I147" s="104">
        <f>'[1]2000'!G15</f>
        <v>44745.16</v>
      </c>
      <c r="J147" s="104"/>
      <c r="K147" s="104"/>
      <c r="L147" s="104"/>
      <c r="M147" s="41">
        <f>'[1]2000'!H15</f>
        <v>0</v>
      </c>
      <c r="N147" s="8">
        <f t="shared" si="16"/>
        <v>228060.28</v>
      </c>
      <c r="O147" s="6">
        <f>SUM(N146:N147)</f>
        <v>2898499.1199999996</v>
      </c>
      <c r="S147" s="7"/>
      <c r="T147" s="7"/>
      <c r="U147" s="7"/>
      <c r="V147" s="7"/>
      <c r="W147" s="7"/>
      <c r="X147" s="7"/>
    </row>
    <row r="148" spans="1:24" ht="12.75">
      <c r="A148" s="497">
        <f>A146+366</f>
        <v>36983</v>
      </c>
      <c r="B148" s="26" t="s">
        <v>7</v>
      </c>
      <c r="C148" s="83">
        <v>988756.68</v>
      </c>
      <c r="D148" s="83">
        <v>55299.17</v>
      </c>
      <c r="E148" s="83">
        <v>7855.76</v>
      </c>
      <c r="F148" s="83">
        <v>1976921</v>
      </c>
      <c r="G148" s="83"/>
      <c r="H148" s="83"/>
      <c r="I148" s="105">
        <v>50307</v>
      </c>
      <c r="J148" s="105"/>
      <c r="K148" s="105"/>
      <c r="L148" s="105"/>
      <c r="M148" s="27">
        <v>35141.24</v>
      </c>
      <c r="N148" s="9">
        <f t="shared" si="16"/>
        <v>3114280.8500000006</v>
      </c>
      <c r="P148" s="11"/>
      <c r="Q148" s="11"/>
      <c r="S148" s="7"/>
      <c r="T148" s="7"/>
      <c r="U148" s="7"/>
      <c r="V148" s="7"/>
      <c r="W148" s="7"/>
      <c r="X148" s="7"/>
    </row>
    <row r="149" spans="1:24" ht="12.75">
      <c r="A149" s="497"/>
      <c r="B149" s="28" t="s">
        <v>8</v>
      </c>
      <c r="C149" s="84">
        <v>52025.97</v>
      </c>
      <c r="D149" s="84">
        <v>0</v>
      </c>
      <c r="E149" s="84">
        <v>7242.67</v>
      </c>
      <c r="F149" s="84">
        <v>219316.46</v>
      </c>
      <c r="G149" s="84"/>
      <c r="H149" s="84"/>
      <c r="I149" s="20">
        <v>112613.71</v>
      </c>
      <c r="J149" s="20"/>
      <c r="K149" s="20"/>
      <c r="L149" s="20"/>
      <c r="M149" s="29">
        <v>6046.65</v>
      </c>
      <c r="N149" s="9">
        <f t="shared" si="16"/>
        <v>397245.46</v>
      </c>
      <c r="O149" s="6">
        <f>SUM(N148:N149)</f>
        <v>3511526.3100000005</v>
      </c>
      <c r="P149" s="11"/>
      <c r="Q149" s="11"/>
      <c r="S149" s="7"/>
      <c r="T149" s="7"/>
      <c r="U149" s="7"/>
      <c r="V149" s="7"/>
      <c r="W149" s="7"/>
      <c r="X149" s="7"/>
    </row>
    <row r="150" spans="1:24" ht="12.75">
      <c r="A150" s="534">
        <v>37347</v>
      </c>
      <c r="B150" s="30" t="s">
        <v>7</v>
      </c>
      <c r="C150" s="85">
        <v>675477.61</v>
      </c>
      <c r="D150" s="85">
        <v>30473.9</v>
      </c>
      <c r="E150" s="85">
        <v>0</v>
      </c>
      <c r="F150" s="85">
        <v>1579782.57</v>
      </c>
      <c r="G150" s="85"/>
      <c r="H150" s="85">
        <v>0</v>
      </c>
      <c r="I150" s="106">
        <v>107306.02</v>
      </c>
      <c r="J150" s="106"/>
      <c r="K150" s="106"/>
      <c r="L150" s="106"/>
      <c r="M150" s="31">
        <v>16464.7</v>
      </c>
      <c r="N150" s="19">
        <f t="shared" si="16"/>
        <v>2409504.8000000003</v>
      </c>
      <c r="O150" s="6"/>
      <c r="P150" s="11"/>
      <c r="Q150" s="11"/>
      <c r="S150" s="7"/>
      <c r="T150" s="7"/>
      <c r="U150" s="7"/>
      <c r="V150" s="7"/>
      <c r="W150" s="7"/>
      <c r="X150" s="7"/>
    </row>
    <row r="151" spans="1:24" ht="12.75">
      <c r="A151" s="534"/>
      <c r="B151" s="32" t="s">
        <v>8</v>
      </c>
      <c r="C151" s="86">
        <v>35528.69</v>
      </c>
      <c r="D151" s="86">
        <v>122192.15</v>
      </c>
      <c r="E151" s="86">
        <v>32721.23</v>
      </c>
      <c r="F151" s="86">
        <v>142369.27</v>
      </c>
      <c r="G151" s="86"/>
      <c r="H151" s="86">
        <v>17042.95</v>
      </c>
      <c r="I151" s="22">
        <v>141745.75</v>
      </c>
      <c r="J151" s="22"/>
      <c r="K151" s="22"/>
      <c r="L151" s="22"/>
      <c r="M151" s="33">
        <v>9403.03</v>
      </c>
      <c r="N151" s="19">
        <f t="shared" si="16"/>
        <v>501003.07</v>
      </c>
      <c r="O151" s="6">
        <f>SUM(N150:N151)</f>
        <v>2910507.87</v>
      </c>
      <c r="P151" s="11"/>
      <c r="Q151" s="11"/>
      <c r="S151" s="7"/>
      <c r="T151" s="7"/>
      <c r="U151" s="7"/>
      <c r="V151" s="7"/>
      <c r="W151" s="7"/>
      <c r="X151" s="7"/>
    </row>
    <row r="152" spans="1:24" ht="12.75">
      <c r="A152" s="519">
        <v>37712</v>
      </c>
      <c r="B152" s="115" t="s">
        <v>7</v>
      </c>
      <c r="C152" s="116">
        <v>716274</v>
      </c>
      <c r="D152" s="116">
        <v>63143.13</v>
      </c>
      <c r="E152" s="116">
        <v>0</v>
      </c>
      <c r="F152" s="116">
        <f>88772.02+1226209.33</f>
        <v>1314981.35</v>
      </c>
      <c r="G152" s="116"/>
      <c r="H152" s="116">
        <v>0</v>
      </c>
      <c r="I152" s="117">
        <v>16859.76</v>
      </c>
      <c r="J152" s="117"/>
      <c r="K152" s="117"/>
      <c r="L152" s="117"/>
      <c r="M152" s="118">
        <v>15628.04</v>
      </c>
      <c r="N152" s="113">
        <f t="shared" si="16"/>
        <v>2126886.28</v>
      </c>
      <c r="O152" s="6"/>
      <c r="P152" s="11"/>
      <c r="Q152" s="11"/>
      <c r="S152" s="7"/>
      <c r="T152" s="7"/>
      <c r="U152" s="7"/>
      <c r="V152" s="7"/>
      <c r="W152" s="7"/>
      <c r="X152" s="7"/>
    </row>
    <row r="153" spans="1:24" ht="13.5" thickBot="1">
      <c r="A153" s="520"/>
      <c r="B153" s="119" t="s">
        <v>8</v>
      </c>
      <c r="C153" s="120">
        <v>173212.37</v>
      </c>
      <c r="D153" s="120">
        <v>97617.9</v>
      </c>
      <c r="E153" s="120">
        <v>63230.66</v>
      </c>
      <c r="F153" s="120">
        <f>87430.11</f>
        <v>87430.11</v>
      </c>
      <c r="G153" s="120"/>
      <c r="H153" s="120">
        <v>12179.18</v>
      </c>
      <c r="I153" s="121">
        <v>109319.91</v>
      </c>
      <c r="J153" s="121"/>
      <c r="K153" s="121"/>
      <c r="L153" s="121"/>
      <c r="M153" s="67">
        <v>11412.84</v>
      </c>
      <c r="N153" s="113">
        <f t="shared" si="16"/>
        <v>554402.97</v>
      </c>
      <c r="O153" s="6">
        <f>SUM(N152:N153)</f>
        <v>2681289.25</v>
      </c>
      <c r="P153" s="11"/>
      <c r="Q153" s="11"/>
      <c r="S153" s="7"/>
      <c r="T153" s="7"/>
      <c r="U153" s="7"/>
      <c r="V153" s="7"/>
      <c r="W153" s="7"/>
      <c r="X153" s="7"/>
    </row>
    <row r="154" spans="1:24" ht="12.75">
      <c r="A154" s="523">
        <v>38078</v>
      </c>
      <c r="B154" s="214" t="s">
        <v>7</v>
      </c>
      <c r="C154" s="215">
        <f>1058152</f>
        <v>1058152</v>
      </c>
      <c r="D154" s="215">
        <f>83951.83</f>
        <v>83951.83</v>
      </c>
      <c r="E154" s="215">
        <v>0</v>
      </c>
      <c r="F154" s="215">
        <f>57774.95+1833973.76</f>
        <v>1891748.71</v>
      </c>
      <c r="G154" s="215"/>
      <c r="H154" s="215">
        <v>0</v>
      </c>
      <c r="I154" s="216">
        <v>35789.56</v>
      </c>
      <c r="J154" s="216"/>
      <c r="K154" s="216"/>
      <c r="L154" s="216"/>
      <c r="M154" s="217">
        <v>23741.37</v>
      </c>
      <c r="N154" s="218">
        <f t="shared" si="16"/>
        <v>3093383.47</v>
      </c>
      <c r="O154" s="6"/>
      <c r="P154" s="11"/>
      <c r="Q154" s="11"/>
      <c r="S154" s="7"/>
      <c r="T154" s="7"/>
      <c r="U154" s="7"/>
      <c r="V154" s="7"/>
      <c r="W154" s="7"/>
      <c r="X154" s="7"/>
    </row>
    <row r="155" spans="1:24" ht="13.5" thickBot="1">
      <c r="A155" s="524"/>
      <c r="B155" s="223" t="s">
        <v>8</v>
      </c>
      <c r="C155" s="224">
        <f>416781.84</f>
        <v>416781.84</v>
      </c>
      <c r="D155" s="224">
        <f>312755.59</f>
        <v>312755.59</v>
      </c>
      <c r="E155" s="225">
        <v>229465.71</v>
      </c>
      <c r="F155" s="224">
        <f>344273.39</f>
        <v>344273.39</v>
      </c>
      <c r="G155" s="224"/>
      <c r="H155" s="224">
        <v>74414.79</v>
      </c>
      <c r="I155" s="226">
        <v>329415.59</v>
      </c>
      <c r="J155" s="226"/>
      <c r="K155" s="226"/>
      <c r="L155" s="226"/>
      <c r="M155" s="227">
        <v>16688.87</v>
      </c>
      <c r="N155" s="218">
        <f t="shared" si="16"/>
        <v>1723795.7800000003</v>
      </c>
      <c r="O155" s="6">
        <f>SUM(N154:N155)</f>
        <v>4817179.25</v>
      </c>
      <c r="P155" s="11"/>
      <c r="Q155" s="11"/>
      <c r="S155" s="7"/>
      <c r="T155" s="7"/>
      <c r="U155" s="7"/>
      <c r="V155" s="7"/>
      <c r="W155" s="7"/>
      <c r="X155" s="7"/>
    </row>
    <row r="156" spans="1:24" ht="12.75">
      <c r="A156" s="517">
        <v>38443</v>
      </c>
      <c r="B156" s="274" t="s">
        <v>7</v>
      </c>
      <c r="C156" s="275">
        <v>417497.28</v>
      </c>
      <c r="D156" s="275">
        <v>69826.19</v>
      </c>
      <c r="E156" s="275"/>
      <c r="F156" s="275">
        <f>37073.5+1849966.35</f>
        <v>1887039.85</v>
      </c>
      <c r="G156" s="275"/>
      <c r="H156" s="275"/>
      <c r="I156" s="276">
        <v>71674.52</v>
      </c>
      <c r="J156" s="276"/>
      <c r="K156" s="276"/>
      <c r="L156" s="276"/>
      <c r="M156" s="277">
        <v>27363.11</v>
      </c>
      <c r="N156" s="273">
        <f aca="true" t="shared" si="17" ref="N156:N161">SUM(C156:M156)</f>
        <v>2473400.95</v>
      </c>
      <c r="O156" s="6"/>
      <c r="P156" s="11"/>
      <c r="Q156" s="11"/>
      <c r="S156" s="7"/>
      <c r="T156" s="7"/>
      <c r="U156" s="7"/>
      <c r="V156" s="7"/>
      <c r="W156" s="7"/>
      <c r="X156" s="7"/>
    </row>
    <row r="157" spans="1:24" ht="13.5" thickBot="1">
      <c r="A157" s="518"/>
      <c r="B157" s="282" t="s">
        <v>8</v>
      </c>
      <c r="C157" s="283">
        <v>236554.63</v>
      </c>
      <c r="D157" s="283">
        <v>104800.56</v>
      </c>
      <c r="E157" s="284">
        <v>71087.11</v>
      </c>
      <c r="F157" s="283">
        <f>107226.99</f>
        <v>107226.99</v>
      </c>
      <c r="G157" s="283"/>
      <c r="H157" s="283">
        <v>103088.99</v>
      </c>
      <c r="I157" s="285">
        <v>148514.09</v>
      </c>
      <c r="J157" s="285"/>
      <c r="K157" s="285"/>
      <c r="L157" s="285">
        <v>20409</v>
      </c>
      <c r="M157" s="286">
        <v>2076.87</v>
      </c>
      <c r="N157" s="273">
        <f t="shared" si="17"/>
        <v>793758.24</v>
      </c>
      <c r="O157" s="6">
        <f>SUM(N156:N157)</f>
        <v>3267159.1900000004</v>
      </c>
      <c r="P157" s="11"/>
      <c r="Q157" s="11"/>
      <c r="S157" s="7"/>
      <c r="T157" s="7"/>
      <c r="U157" s="7"/>
      <c r="V157" s="7"/>
      <c r="W157" s="7"/>
      <c r="X157" s="7"/>
    </row>
    <row r="158" spans="1:24" ht="12.75">
      <c r="A158" s="527">
        <v>38808</v>
      </c>
      <c r="B158" s="289" t="s">
        <v>7</v>
      </c>
      <c r="C158" s="290">
        <v>550652.27</v>
      </c>
      <c r="D158" s="290">
        <v>447.81</v>
      </c>
      <c r="E158" s="290"/>
      <c r="F158" s="290">
        <f>10802.72+1500702.93</f>
        <v>1511505.65</v>
      </c>
      <c r="G158" s="290"/>
      <c r="H158" s="290"/>
      <c r="I158" s="291">
        <v>66053.43</v>
      </c>
      <c r="J158" s="291"/>
      <c r="K158" s="291"/>
      <c r="L158" s="291"/>
      <c r="M158" s="292">
        <v>21993.08</v>
      </c>
      <c r="N158" s="293">
        <f t="shared" si="17"/>
        <v>2150652.24</v>
      </c>
      <c r="O158" s="6"/>
      <c r="P158" s="11"/>
      <c r="Q158" s="11"/>
      <c r="S158" s="7"/>
      <c r="T158" s="7"/>
      <c r="U158" s="7"/>
      <c r="V158" s="7"/>
      <c r="W158" s="7"/>
      <c r="X158" s="7"/>
    </row>
    <row r="159" spans="1:24" ht="13.5" thickBot="1">
      <c r="A159" s="528"/>
      <c r="B159" s="299" t="s">
        <v>8</v>
      </c>
      <c r="C159" s="300">
        <v>674776.19</v>
      </c>
      <c r="D159" s="300">
        <v>316679.35</v>
      </c>
      <c r="E159" s="301">
        <v>65618.91</v>
      </c>
      <c r="F159" s="300">
        <f>165523.55</f>
        <v>165523.55</v>
      </c>
      <c r="G159" s="300">
        <v>105761.24</v>
      </c>
      <c r="H159" s="300">
        <v>201738.41</v>
      </c>
      <c r="I159" s="302">
        <v>221934.75</v>
      </c>
      <c r="J159" s="302"/>
      <c r="K159" s="302"/>
      <c r="L159" s="302">
        <v>0</v>
      </c>
      <c r="M159" s="303">
        <v>10659.6</v>
      </c>
      <c r="N159" s="293">
        <f t="shared" si="17"/>
        <v>1762692</v>
      </c>
      <c r="O159" s="6">
        <f>SUM(N158:N159)</f>
        <v>3913344.24</v>
      </c>
      <c r="P159" s="11"/>
      <c r="Q159" s="11"/>
      <c r="S159" s="7"/>
      <c r="T159" s="7"/>
      <c r="U159" s="7"/>
      <c r="V159" s="7"/>
      <c r="W159" s="7"/>
      <c r="X159" s="7"/>
    </row>
    <row r="160" spans="1:24" ht="12.75">
      <c r="A160" s="502" t="s">
        <v>42</v>
      </c>
      <c r="B160" s="305" t="s">
        <v>7</v>
      </c>
      <c r="C160" s="306">
        <v>762775.05</v>
      </c>
      <c r="D160" s="306">
        <v>122.71</v>
      </c>
      <c r="E160" s="306">
        <v>0</v>
      </c>
      <c r="F160" s="306">
        <f>20987.12+1606273.87</f>
        <v>1627260.9900000002</v>
      </c>
      <c r="G160" s="306">
        <f>979.16</f>
        <v>979.16</v>
      </c>
      <c r="H160" s="306">
        <f>0</f>
        <v>0</v>
      </c>
      <c r="I160" s="307">
        <f>78962</f>
        <v>78962</v>
      </c>
      <c r="J160" s="307"/>
      <c r="K160" s="307"/>
      <c r="L160" s="307">
        <v>0</v>
      </c>
      <c r="M160" s="308">
        <f>29544.75</f>
        <v>29544.75</v>
      </c>
      <c r="N160" s="304">
        <f t="shared" si="17"/>
        <v>2499644.66</v>
      </c>
      <c r="O160" s="6"/>
      <c r="P160" s="11"/>
      <c r="Q160" s="11"/>
      <c r="S160" s="7"/>
      <c r="T160" s="7"/>
      <c r="U160" s="7"/>
      <c r="V160" s="7"/>
      <c r="W160" s="7"/>
      <c r="X160" s="7"/>
    </row>
    <row r="161" spans="1:24" ht="13.5" thickBot="1">
      <c r="A161" s="503"/>
      <c r="B161" s="313" t="s">
        <v>8</v>
      </c>
      <c r="C161" s="309">
        <v>958218.31</v>
      </c>
      <c r="D161" s="309">
        <v>354877.13</v>
      </c>
      <c r="E161" s="310">
        <v>100820.83</v>
      </c>
      <c r="F161" s="309">
        <f>238463.59</f>
        <v>238463.59</v>
      </c>
      <c r="G161" s="309">
        <f>129756.16</f>
        <v>129756.16</v>
      </c>
      <c r="H161" s="309">
        <f>221465.65</f>
        <v>221465.65</v>
      </c>
      <c r="I161" s="311">
        <f>170207.63</f>
        <v>170207.63</v>
      </c>
      <c r="J161" s="311"/>
      <c r="K161" s="311"/>
      <c r="L161" s="311">
        <v>0</v>
      </c>
      <c r="M161" s="312">
        <f>12056.69</f>
        <v>12056.69</v>
      </c>
      <c r="N161" s="304">
        <f t="shared" si="17"/>
        <v>2185865.9899999998</v>
      </c>
      <c r="O161" s="6">
        <f>SUM(N160:N161)</f>
        <v>4685510.65</v>
      </c>
      <c r="P161" s="11"/>
      <c r="Q161" s="11"/>
      <c r="S161" s="7"/>
      <c r="T161" s="7"/>
      <c r="U161" s="7"/>
      <c r="V161" s="7"/>
      <c r="W161" s="7"/>
      <c r="X161" s="7"/>
    </row>
    <row r="162" spans="1:25" ht="12.75">
      <c r="A162" s="511" t="s">
        <v>56</v>
      </c>
      <c r="B162" s="318" t="s">
        <v>7</v>
      </c>
      <c r="C162" s="319">
        <v>662913.39</v>
      </c>
      <c r="D162" s="319">
        <v>5890.49</v>
      </c>
      <c r="E162" s="319">
        <v>0</v>
      </c>
      <c r="F162" s="319">
        <f>7304.96+1542982.38</f>
        <v>1550287.3399999999</v>
      </c>
      <c r="G162" s="319">
        <f>1382</f>
        <v>1382</v>
      </c>
      <c r="H162" s="319"/>
      <c r="I162" s="320">
        <v>95958.96</v>
      </c>
      <c r="J162" s="320"/>
      <c r="K162" s="320"/>
      <c r="L162" s="320"/>
      <c r="M162" s="321">
        <v>14201.45</v>
      </c>
      <c r="N162" s="322">
        <f>SUM(B162:M162)</f>
        <v>2330633.63</v>
      </c>
      <c r="O162" s="6"/>
      <c r="S162" s="7"/>
      <c r="T162" s="7"/>
      <c r="U162" s="7"/>
      <c r="V162" s="7"/>
      <c r="W162" s="7"/>
      <c r="X162" s="7"/>
      <c r="Y162" s="6"/>
    </row>
    <row r="163" spans="1:25" ht="13.5" thickBot="1">
      <c r="A163" s="512"/>
      <c r="B163" s="323" t="s">
        <v>8</v>
      </c>
      <c r="C163" s="324">
        <v>1020676.55</v>
      </c>
      <c r="D163" s="324">
        <v>331692.08</v>
      </c>
      <c r="E163" s="325">
        <v>218337.75</v>
      </c>
      <c r="F163" s="324">
        <f>139981.24</f>
        <v>139981.24</v>
      </c>
      <c r="G163" s="324">
        <f>103969.82</f>
        <v>103969.82</v>
      </c>
      <c r="H163" s="324">
        <v>276570.62</v>
      </c>
      <c r="I163" s="326">
        <v>149829.1</v>
      </c>
      <c r="J163" s="326"/>
      <c r="K163" s="326"/>
      <c r="L163" s="326"/>
      <c r="M163" s="327">
        <v>9563.35</v>
      </c>
      <c r="N163" s="322">
        <f>SUM(B163:M163)</f>
        <v>2250620.5100000002</v>
      </c>
      <c r="O163" s="6">
        <f>SUM(N162:N163)</f>
        <v>4581254.140000001</v>
      </c>
      <c r="S163" s="7"/>
      <c r="T163" s="7"/>
      <c r="U163" s="7"/>
      <c r="V163" s="7"/>
      <c r="W163" s="7"/>
      <c r="X163" s="7"/>
      <c r="Y163" s="6"/>
    </row>
    <row r="164" spans="1:25" ht="12.75">
      <c r="A164" s="532" t="s">
        <v>71</v>
      </c>
      <c r="B164" s="333" t="s">
        <v>7</v>
      </c>
      <c r="C164" s="334">
        <v>424504.51</v>
      </c>
      <c r="D164" s="334">
        <v>753.12</v>
      </c>
      <c r="E164" s="334">
        <v>0</v>
      </c>
      <c r="F164" s="334">
        <f>557735.82+23547.35</f>
        <v>581283.1699999999</v>
      </c>
      <c r="G164" s="334">
        <f>38742.63</f>
        <v>38742.63</v>
      </c>
      <c r="H164" s="334"/>
      <c r="I164" s="335">
        <v>39155.13</v>
      </c>
      <c r="J164" s="335"/>
      <c r="K164" s="335">
        <v>0</v>
      </c>
      <c r="L164" s="335">
        <v>0</v>
      </c>
      <c r="M164" s="336">
        <v>0</v>
      </c>
      <c r="N164" s="337">
        <f>SUM(B164:M164)</f>
        <v>1084438.5599999998</v>
      </c>
      <c r="O164" s="6"/>
      <c r="S164" s="7"/>
      <c r="T164" s="7"/>
      <c r="U164" s="7"/>
      <c r="V164" s="7"/>
      <c r="W164" s="7"/>
      <c r="X164" s="7"/>
      <c r="Y164" s="6"/>
    </row>
    <row r="165" spans="1:25" ht="13.5" thickBot="1">
      <c r="A165" s="533"/>
      <c r="B165" s="338" t="s">
        <v>8</v>
      </c>
      <c r="C165" s="339">
        <v>1404756</v>
      </c>
      <c r="D165" s="339">
        <v>283660.45</v>
      </c>
      <c r="E165" s="340">
        <v>348757.53</v>
      </c>
      <c r="F165" s="339">
        <f>233298.98</f>
        <v>233298.98</v>
      </c>
      <c r="G165" s="339">
        <f>156345.12</f>
        <v>156345.12</v>
      </c>
      <c r="H165" s="339">
        <v>423976.38</v>
      </c>
      <c r="I165" s="341">
        <v>209808.44</v>
      </c>
      <c r="J165" s="341"/>
      <c r="K165" s="341">
        <v>3023.83</v>
      </c>
      <c r="L165" s="341">
        <v>0</v>
      </c>
      <c r="M165" s="342">
        <v>0</v>
      </c>
      <c r="N165" s="337">
        <f>SUM(B165:M165)</f>
        <v>3063626.73</v>
      </c>
      <c r="O165" s="6">
        <f>SUM(N164:N165)</f>
        <v>4148065.29</v>
      </c>
      <c r="S165" s="7"/>
      <c r="T165" s="7"/>
      <c r="U165" s="7"/>
      <c r="V165" s="7"/>
      <c r="W165" s="7"/>
      <c r="X165" s="7"/>
      <c r="Y165" s="6"/>
    </row>
    <row r="166" spans="1:25" ht="12.75">
      <c r="A166" s="506" t="s">
        <v>85</v>
      </c>
      <c r="B166" s="347" t="s">
        <v>7</v>
      </c>
      <c r="C166" s="348">
        <v>745276.32</v>
      </c>
      <c r="D166" s="348">
        <v>70.83</v>
      </c>
      <c r="E166" s="348">
        <v>0</v>
      </c>
      <c r="F166" s="348">
        <f>21065.6+261018.37</f>
        <v>282083.97</v>
      </c>
      <c r="G166" s="348">
        <f>34849.29</f>
        <v>34849.29</v>
      </c>
      <c r="H166" s="348">
        <v>0</v>
      </c>
      <c r="I166" s="349">
        <v>41358.56</v>
      </c>
      <c r="J166" s="349"/>
      <c r="K166" s="349">
        <v>0</v>
      </c>
      <c r="L166" s="349">
        <v>0</v>
      </c>
      <c r="M166" s="350">
        <v>0</v>
      </c>
      <c r="N166" s="351">
        <f aca="true" t="shared" si="18" ref="N166:N171">SUM(C166:M166)</f>
        <v>1103638.97</v>
      </c>
      <c r="O166" s="6"/>
      <c r="S166" s="7"/>
      <c r="T166" s="7"/>
      <c r="U166" s="7"/>
      <c r="V166" s="7"/>
      <c r="W166" s="7"/>
      <c r="X166" s="7"/>
      <c r="Y166" s="6"/>
    </row>
    <row r="167" spans="1:25" ht="13.5" thickBot="1">
      <c r="A167" s="507" t="s">
        <v>82</v>
      </c>
      <c r="B167" s="352" t="s">
        <v>8</v>
      </c>
      <c r="C167" s="353">
        <v>1095958.62</v>
      </c>
      <c r="D167" s="353">
        <v>143038.98</v>
      </c>
      <c r="E167" s="354">
        <v>241783.01</v>
      </c>
      <c r="F167" s="353">
        <f>176367.9</f>
        <v>176367.9</v>
      </c>
      <c r="G167" s="353">
        <f>161899.77</f>
        <v>161899.77</v>
      </c>
      <c r="H167" s="353">
        <v>244880.77</v>
      </c>
      <c r="I167" s="355">
        <v>133756.1</v>
      </c>
      <c r="J167" s="355"/>
      <c r="K167" s="355">
        <v>1566.45</v>
      </c>
      <c r="L167" s="355">
        <v>0</v>
      </c>
      <c r="M167" s="356">
        <v>0</v>
      </c>
      <c r="N167" s="351">
        <f t="shared" si="18"/>
        <v>2199251.6</v>
      </c>
      <c r="O167" s="6">
        <f>SUM(N166:N167)</f>
        <v>3302890.5700000003</v>
      </c>
      <c r="S167" s="7"/>
      <c r="T167" s="7"/>
      <c r="U167" s="7"/>
      <c r="V167" s="7"/>
      <c r="W167" s="7"/>
      <c r="X167" s="7"/>
      <c r="Y167" s="6"/>
    </row>
    <row r="168" spans="1:25" ht="12.75">
      <c r="A168" s="513" t="s">
        <v>99</v>
      </c>
      <c r="B168" s="357" t="s">
        <v>7</v>
      </c>
      <c r="C168" s="358">
        <v>1238860.2</v>
      </c>
      <c r="D168" s="358">
        <v>-107.51</v>
      </c>
      <c r="E168" s="358">
        <v>0</v>
      </c>
      <c r="F168" s="358">
        <f>48539.09+190401.3</f>
        <v>238940.38999999998</v>
      </c>
      <c r="G168" s="358">
        <f>35468.15</f>
        <v>35468.15</v>
      </c>
      <c r="H168" s="358">
        <v>0</v>
      </c>
      <c r="I168" s="359">
        <v>28139.21</v>
      </c>
      <c r="J168" s="359"/>
      <c r="K168" s="359">
        <v>0</v>
      </c>
      <c r="L168" s="359">
        <v>0</v>
      </c>
      <c r="M168" s="360">
        <v>0</v>
      </c>
      <c r="N168" s="361">
        <f t="shared" si="18"/>
        <v>1541300.4399999997</v>
      </c>
      <c r="O168" s="6"/>
      <c r="S168" s="7"/>
      <c r="T168" s="7"/>
      <c r="U168" s="7"/>
      <c r="V168" s="7"/>
      <c r="W168" s="7"/>
      <c r="X168" s="7"/>
      <c r="Y168" s="6"/>
    </row>
    <row r="169" spans="1:25" ht="13.5" thickBot="1">
      <c r="A169" s="514" t="s">
        <v>82</v>
      </c>
      <c r="B169" s="362" t="s">
        <v>8</v>
      </c>
      <c r="C169" s="363">
        <v>1522297.48</v>
      </c>
      <c r="D169" s="363">
        <f>320436.13</f>
        <v>320436.13</v>
      </c>
      <c r="E169" s="364">
        <v>391263.04</v>
      </c>
      <c r="F169" s="363">
        <f>205517.56</f>
        <v>205517.56</v>
      </c>
      <c r="G169" s="363">
        <f>174691.48</f>
        <v>174691.48</v>
      </c>
      <c r="H169" s="363">
        <v>333570.65</v>
      </c>
      <c r="I169" s="365">
        <v>140568.7</v>
      </c>
      <c r="J169" s="365"/>
      <c r="K169" s="365">
        <v>3752.99</v>
      </c>
      <c r="L169" s="365">
        <v>0</v>
      </c>
      <c r="M169" s="366">
        <v>0</v>
      </c>
      <c r="N169" s="361">
        <f t="shared" si="18"/>
        <v>3092098.0300000003</v>
      </c>
      <c r="O169" s="6">
        <f>SUM(N168:N169)</f>
        <v>4633398.47</v>
      </c>
      <c r="S169" s="7"/>
      <c r="T169" s="7"/>
      <c r="U169" s="7"/>
      <c r="V169" s="7"/>
      <c r="W169" s="7"/>
      <c r="X169" s="7"/>
      <c r="Y169" s="6"/>
    </row>
    <row r="170" spans="1:25" ht="12.75">
      <c r="A170" s="525">
        <v>41000</v>
      </c>
      <c r="B170" s="367" t="s">
        <v>7</v>
      </c>
      <c r="C170" s="368">
        <v>1382996.37</v>
      </c>
      <c r="D170" s="368">
        <v>0</v>
      </c>
      <c r="E170" s="368">
        <v>0</v>
      </c>
      <c r="F170" s="368">
        <f>284344.34+66338.35</f>
        <v>350682.69000000006</v>
      </c>
      <c r="G170" s="368">
        <v>51983.74</v>
      </c>
      <c r="H170" s="368">
        <v>0</v>
      </c>
      <c r="I170" s="369">
        <v>33640.35</v>
      </c>
      <c r="J170" s="369"/>
      <c r="K170" s="369">
        <v>0</v>
      </c>
      <c r="L170" s="369">
        <v>0</v>
      </c>
      <c r="M170" s="370">
        <v>0</v>
      </c>
      <c r="N170" s="371">
        <f t="shared" si="18"/>
        <v>1819303.1500000001</v>
      </c>
      <c r="O170" s="6"/>
      <c r="S170" s="7"/>
      <c r="T170" s="7"/>
      <c r="U170" s="7"/>
      <c r="V170" s="7"/>
      <c r="W170" s="7"/>
      <c r="X170" s="7"/>
      <c r="Y170" s="6"/>
    </row>
    <row r="171" spans="1:25" ht="13.5" thickBot="1">
      <c r="A171" s="526"/>
      <c r="B171" s="372" t="s">
        <v>8</v>
      </c>
      <c r="C171" s="373">
        <v>2093807.88</v>
      </c>
      <c r="D171" s="373">
        <v>265919.87</v>
      </c>
      <c r="E171" s="373">
        <v>456970.3</v>
      </c>
      <c r="F171" s="373">
        <v>197797.88</v>
      </c>
      <c r="G171" s="373">
        <v>148758.14</v>
      </c>
      <c r="H171" s="373">
        <v>392408.02</v>
      </c>
      <c r="I171" s="374">
        <v>236684.19</v>
      </c>
      <c r="J171" s="374"/>
      <c r="K171" s="374">
        <v>5464.76</v>
      </c>
      <c r="L171" s="374">
        <v>0</v>
      </c>
      <c r="M171" s="375">
        <v>0</v>
      </c>
      <c r="N171" s="371">
        <f t="shared" si="18"/>
        <v>3797811.0399999996</v>
      </c>
      <c r="O171" s="6">
        <f>SUM(N170:N171)</f>
        <v>5617114.1899999995</v>
      </c>
      <c r="S171" s="7"/>
      <c r="T171" s="7"/>
      <c r="U171" s="7"/>
      <c r="V171" s="7"/>
      <c r="W171" s="7"/>
      <c r="X171" s="7"/>
      <c r="Y171" s="6"/>
    </row>
    <row r="172" spans="1:25" ht="12.75">
      <c r="A172" s="521">
        <v>41365</v>
      </c>
      <c r="B172" s="390" t="s">
        <v>7</v>
      </c>
      <c r="C172" s="391">
        <v>1517308</v>
      </c>
      <c r="D172" s="391">
        <v>0</v>
      </c>
      <c r="E172" s="391"/>
      <c r="F172" s="391">
        <f>113587.19+233564.83</f>
        <v>347152.02</v>
      </c>
      <c r="G172" s="391">
        <f>47698.59</f>
        <v>47698.59</v>
      </c>
      <c r="H172" s="391">
        <v>0</v>
      </c>
      <c r="I172" s="392">
        <v>53386.14</v>
      </c>
      <c r="J172" s="392">
        <v>0</v>
      </c>
      <c r="K172" s="392">
        <v>0</v>
      </c>
      <c r="L172" s="392">
        <v>0</v>
      </c>
      <c r="M172" s="393">
        <v>0</v>
      </c>
      <c r="N172" s="394">
        <f aca="true" t="shared" si="19" ref="N172:N177">SUM(C172:M172)</f>
        <v>1965544.75</v>
      </c>
      <c r="O172" s="6"/>
      <c r="S172" s="7"/>
      <c r="T172" s="7"/>
      <c r="U172" s="7"/>
      <c r="V172" s="7"/>
      <c r="W172" s="7"/>
      <c r="X172" s="7"/>
      <c r="Y172" s="6"/>
    </row>
    <row r="173" spans="1:25" ht="13.5" thickBot="1">
      <c r="A173" s="531"/>
      <c r="B173" s="395" t="s">
        <v>8</v>
      </c>
      <c r="C173" s="396">
        <v>1909559.18</v>
      </c>
      <c r="D173" s="396">
        <v>264418.52</v>
      </c>
      <c r="E173" s="396">
        <v>414062.72</v>
      </c>
      <c r="F173" s="396">
        <f>287158.76+233564.83-233564.83</f>
        <v>287158.76</v>
      </c>
      <c r="G173" s="396">
        <f>183128.86</f>
        <v>183128.86</v>
      </c>
      <c r="H173" s="396">
        <v>404974.29</v>
      </c>
      <c r="I173" s="397">
        <v>220988.23</v>
      </c>
      <c r="J173" s="397">
        <v>101971.65</v>
      </c>
      <c r="K173" s="397">
        <v>3246.62</v>
      </c>
      <c r="L173" s="397">
        <v>0</v>
      </c>
      <c r="M173" s="398">
        <v>0</v>
      </c>
      <c r="N173" s="394">
        <f t="shared" si="19"/>
        <v>3789508.8299999996</v>
      </c>
      <c r="O173" s="6">
        <f>SUM(N172:N173)</f>
        <v>5755053.58</v>
      </c>
      <c r="S173" s="7"/>
      <c r="T173" s="7"/>
      <c r="U173" s="7"/>
      <c r="V173" s="7"/>
      <c r="W173" s="7"/>
      <c r="X173" s="7"/>
      <c r="Y173" s="6"/>
    </row>
    <row r="174" spans="1:25" ht="12.75">
      <c r="A174" s="515">
        <v>41730</v>
      </c>
      <c r="B174" s="403" t="s">
        <v>7</v>
      </c>
      <c r="C174" s="404">
        <f>911820.36+13680.1</f>
        <v>925500.46</v>
      </c>
      <c r="D174" s="404">
        <v>0</v>
      </c>
      <c r="E174" s="404">
        <v>0</v>
      </c>
      <c r="F174" s="404">
        <f>34670.75+65571.09</f>
        <v>100241.84</v>
      </c>
      <c r="G174" s="404">
        <v>54789.52</v>
      </c>
      <c r="H174" s="404">
        <v>0</v>
      </c>
      <c r="I174" s="405">
        <v>35168.13</v>
      </c>
      <c r="J174" s="405">
        <v>0</v>
      </c>
      <c r="K174" s="405">
        <v>0</v>
      </c>
      <c r="L174" s="405">
        <v>0</v>
      </c>
      <c r="M174" s="406">
        <v>0</v>
      </c>
      <c r="N174" s="407">
        <f t="shared" si="19"/>
        <v>1115699.9499999997</v>
      </c>
      <c r="S174" s="7"/>
      <c r="T174" s="7"/>
      <c r="U174" s="7"/>
      <c r="V174" s="7"/>
      <c r="W174" s="7"/>
      <c r="X174" s="7"/>
      <c r="Y174" s="6"/>
    </row>
    <row r="175" spans="1:25" ht="13.5" thickBot="1">
      <c r="A175" s="516"/>
      <c r="B175" s="408" t="s">
        <v>8</v>
      </c>
      <c r="C175" s="409">
        <f>1997036.49+196200.94</f>
        <v>2193237.43</v>
      </c>
      <c r="D175" s="409">
        <v>350056.96</v>
      </c>
      <c r="E175" s="409">
        <v>529762.14</v>
      </c>
      <c r="F175" s="409">
        <v>350371.16</v>
      </c>
      <c r="G175" s="409">
        <v>209714.06</v>
      </c>
      <c r="H175" s="409">
        <v>498687.47</v>
      </c>
      <c r="I175" s="410">
        <v>286647.66</v>
      </c>
      <c r="J175" s="410">
        <v>98545.31</v>
      </c>
      <c r="K175" s="410">
        <v>6687.72</v>
      </c>
      <c r="L175" s="410">
        <v>0</v>
      </c>
      <c r="M175" s="411">
        <v>0</v>
      </c>
      <c r="N175" s="407">
        <f t="shared" si="19"/>
        <v>4523709.91</v>
      </c>
      <c r="O175" s="6">
        <f>SUM(N174:N175)</f>
        <v>5639409.859999999</v>
      </c>
      <c r="S175" s="7"/>
      <c r="T175" s="7"/>
      <c r="U175" s="7"/>
      <c r="V175" s="7"/>
      <c r="W175" s="7"/>
      <c r="X175" s="7"/>
      <c r="Y175" s="6"/>
    </row>
    <row r="176" spans="1:25" ht="12.75">
      <c r="A176" s="495">
        <v>42095</v>
      </c>
      <c r="B176" s="416" t="s">
        <v>7</v>
      </c>
      <c r="C176" s="417">
        <f>868044.88</f>
        <v>868044.88</v>
      </c>
      <c r="D176" s="417">
        <v>0</v>
      </c>
      <c r="E176" s="417">
        <v>0</v>
      </c>
      <c r="F176" s="417">
        <f>50446.67+111995.99</f>
        <v>162442.66</v>
      </c>
      <c r="G176" s="417">
        <f>41585.1</f>
        <v>41585.1</v>
      </c>
      <c r="H176" s="417">
        <v>0</v>
      </c>
      <c r="I176" s="418">
        <v>41985.81</v>
      </c>
      <c r="J176" s="418">
        <v>0</v>
      </c>
      <c r="K176" s="418">
        <v>0</v>
      </c>
      <c r="L176" s="418">
        <v>0</v>
      </c>
      <c r="M176" s="419">
        <v>0</v>
      </c>
      <c r="N176" s="420">
        <f t="shared" si="19"/>
        <v>1114058.4500000002</v>
      </c>
      <c r="O176" s="6"/>
      <c r="S176" s="7"/>
      <c r="T176" s="7"/>
      <c r="U176" s="7"/>
      <c r="V176" s="7"/>
      <c r="W176" s="7"/>
      <c r="X176" s="7"/>
      <c r="Y176" s="6"/>
    </row>
    <row r="177" spans="1:25" ht="13.5" thickBot="1">
      <c r="A177" s="496"/>
      <c r="B177" s="421" t="s">
        <v>8</v>
      </c>
      <c r="C177" s="422">
        <f>2342642.59+324398.88</f>
        <v>2667041.4699999997</v>
      </c>
      <c r="D177" s="422">
        <v>449491.61</v>
      </c>
      <c r="E177" s="423">
        <v>473353.3</v>
      </c>
      <c r="F177" s="422">
        <f>270219.87+8216.41</f>
        <v>278436.27999999997</v>
      </c>
      <c r="G177" s="422">
        <f>231828.28</f>
        <v>231828.28</v>
      </c>
      <c r="H177" s="422">
        <v>598762.04</v>
      </c>
      <c r="I177" s="424">
        <v>335799.45</v>
      </c>
      <c r="J177" s="424">
        <v>185316.48</v>
      </c>
      <c r="K177" s="424">
        <v>391.05</v>
      </c>
      <c r="L177" s="424">
        <v>0</v>
      </c>
      <c r="M177" s="425">
        <v>0</v>
      </c>
      <c r="N177" s="420">
        <f t="shared" si="19"/>
        <v>5220419.959999999</v>
      </c>
      <c r="O177" s="6">
        <f>SUM(N176:N177)</f>
        <v>6334478.409999999</v>
      </c>
      <c r="S177" s="7"/>
      <c r="T177" s="7"/>
      <c r="U177" s="7"/>
      <c r="V177" s="7"/>
      <c r="W177" s="7"/>
      <c r="X177" s="7"/>
      <c r="Y177" s="6"/>
    </row>
    <row r="178" spans="1:25" ht="12.75">
      <c r="A178" s="511" t="s">
        <v>131</v>
      </c>
      <c r="B178" s="427" t="s">
        <v>7</v>
      </c>
      <c r="C178" s="428">
        <v>904050.34</v>
      </c>
      <c r="D178" s="428">
        <v>0</v>
      </c>
      <c r="E178" s="428">
        <v>0</v>
      </c>
      <c r="F178" s="428">
        <v>12758.8</v>
      </c>
      <c r="G178" s="428">
        <v>0</v>
      </c>
      <c r="H178" s="428">
        <v>0</v>
      </c>
      <c r="I178" s="429">
        <v>100506.88</v>
      </c>
      <c r="J178" s="429">
        <v>0</v>
      </c>
      <c r="K178" s="429">
        <v>0</v>
      </c>
      <c r="L178" s="429">
        <v>0</v>
      </c>
      <c r="M178" s="430">
        <v>0</v>
      </c>
      <c r="N178" s="431">
        <f aca="true" t="shared" si="20" ref="N178:N183">SUM(C178:M178)</f>
        <v>1017316.02</v>
      </c>
      <c r="O178" s="6"/>
      <c r="S178" s="7"/>
      <c r="T178" s="7"/>
      <c r="U178" s="7"/>
      <c r="V178" s="7"/>
      <c r="W178" s="7"/>
      <c r="X178" s="7"/>
      <c r="Y178" s="6"/>
    </row>
    <row r="179" spans="1:25" ht="13.5" thickBot="1">
      <c r="A179" s="512"/>
      <c r="B179" s="432" t="s">
        <v>8</v>
      </c>
      <c r="C179" s="433">
        <v>2317223.34</v>
      </c>
      <c r="D179" s="433">
        <v>298098.32</v>
      </c>
      <c r="E179" s="434">
        <v>373085.18</v>
      </c>
      <c r="F179" s="433">
        <v>326257.54</v>
      </c>
      <c r="G179" s="433">
        <v>280875.58</v>
      </c>
      <c r="H179" s="433">
        <v>680882.36</v>
      </c>
      <c r="I179" s="435">
        <v>210521.61</v>
      </c>
      <c r="J179" s="435">
        <v>185409.81</v>
      </c>
      <c r="K179" s="435">
        <v>5684.07</v>
      </c>
      <c r="L179" s="435">
        <v>0</v>
      </c>
      <c r="M179" s="436">
        <v>0</v>
      </c>
      <c r="N179" s="431">
        <f t="shared" si="20"/>
        <v>4678037.8100000005</v>
      </c>
      <c r="O179" s="6">
        <f>SUM(N178:N179)</f>
        <v>5695353.83</v>
      </c>
      <c r="S179" s="7"/>
      <c r="T179" s="7"/>
      <c r="U179" s="7"/>
      <c r="V179" s="7"/>
      <c r="W179" s="7"/>
      <c r="X179" s="7"/>
      <c r="Y179" s="6"/>
    </row>
    <row r="180" spans="1:25" ht="12.75">
      <c r="A180" s="500" t="s">
        <v>153</v>
      </c>
      <c r="B180" s="438" t="s">
        <v>7</v>
      </c>
      <c r="C180" s="439">
        <v>730553.23</v>
      </c>
      <c r="D180" s="439">
        <v>0</v>
      </c>
      <c r="E180" s="440">
        <v>0</v>
      </c>
      <c r="F180" s="439">
        <v>47932.88</v>
      </c>
      <c r="G180" s="439">
        <v>26883.17</v>
      </c>
      <c r="H180" s="439">
        <v>0</v>
      </c>
      <c r="I180" s="441">
        <v>4351</v>
      </c>
      <c r="J180" s="441">
        <v>0</v>
      </c>
      <c r="K180" s="441">
        <v>0</v>
      </c>
      <c r="L180" s="441">
        <v>0</v>
      </c>
      <c r="M180" s="442">
        <v>0</v>
      </c>
      <c r="N180" s="443">
        <f t="shared" si="20"/>
        <v>809720.28</v>
      </c>
      <c r="O180" s="6"/>
      <c r="S180" s="7"/>
      <c r="T180" s="7"/>
      <c r="U180" s="7"/>
      <c r="V180" s="7"/>
      <c r="W180" s="7"/>
      <c r="X180" s="7"/>
      <c r="Y180" s="6"/>
    </row>
    <row r="181" spans="1:25" ht="13.5" thickBot="1">
      <c r="A181" s="501"/>
      <c r="B181" s="444" t="s">
        <v>8</v>
      </c>
      <c r="C181" s="445">
        <v>2780445.19</v>
      </c>
      <c r="D181" s="445">
        <v>425035.66</v>
      </c>
      <c r="E181" s="446">
        <v>502807.42000000004</v>
      </c>
      <c r="F181" s="445">
        <v>177708.59</v>
      </c>
      <c r="G181" s="445">
        <v>189735.59</v>
      </c>
      <c r="H181" s="445">
        <v>802289.2700000006</v>
      </c>
      <c r="I181" s="447">
        <v>378235.16</v>
      </c>
      <c r="J181" s="447">
        <v>141450.81</v>
      </c>
      <c r="K181" s="447">
        <v>5272.11</v>
      </c>
      <c r="L181" s="447">
        <v>0</v>
      </c>
      <c r="M181" s="448">
        <v>0</v>
      </c>
      <c r="N181" s="443">
        <f t="shared" si="20"/>
        <v>5402979.800000001</v>
      </c>
      <c r="O181" s="6">
        <f>SUM(N180:N181)</f>
        <v>6212700.080000001</v>
      </c>
      <c r="S181" s="7"/>
      <c r="T181" s="7"/>
      <c r="U181" s="7"/>
      <c r="V181" s="7"/>
      <c r="W181" s="7"/>
      <c r="X181" s="7"/>
      <c r="Y181" s="6"/>
    </row>
    <row r="182" spans="1:25" ht="12.75">
      <c r="A182" s="508" t="s">
        <v>158</v>
      </c>
      <c r="B182" s="449" t="s">
        <v>7</v>
      </c>
      <c r="C182" s="450">
        <v>906323.73</v>
      </c>
      <c r="D182" s="450">
        <v>0</v>
      </c>
      <c r="E182" s="450">
        <v>0</v>
      </c>
      <c r="F182" s="450">
        <v>70604.85</v>
      </c>
      <c r="G182" s="450">
        <v>49303.32</v>
      </c>
      <c r="H182" s="450">
        <v>0</v>
      </c>
      <c r="I182" s="452">
        <v>4576.56</v>
      </c>
      <c r="J182" s="452">
        <v>0</v>
      </c>
      <c r="K182" s="452">
        <v>0</v>
      </c>
      <c r="L182" s="452">
        <v>0</v>
      </c>
      <c r="M182" s="453">
        <v>0</v>
      </c>
      <c r="N182" s="454">
        <f t="shared" si="20"/>
        <v>1030808.46</v>
      </c>
      <c r="O182" s="6"/>
      <c r="S182" s="7"/>
      <c r="T182" s="7"/>
      <c r="U182" s="7"/>
      <c r="V182" s="7"/>
      <c r="W182" s="7"/>
      <c r="X182" s="7"/>
      <c r="Y182" s="6"/>
    </row>
    <row r="183" spans="1:25" ht="13.5" thickBot="1">
      <c r="A183" s="509"/>
      <c r="B183" s="455" t="s">
        <v>8</v>
      </c>
      <c r="C183" s="456">
        <v>3230737.95</v>
      </c>
      <c r="D183" s="456">
        <v>434569.17999999993</v>
      </c>
      <c r="E183" s="457">
        <v>540600.9</v>
      </c>
      <c r="F183" s="456">
        <v>366312.17</v>
      </c>
      <c r="G183" s="456">
        <v>163433.18</v>
      </c>
      <c r="H183" s="456">
        <v>879420.45</v>
      </c>
      <c r="I183" s="458">
        <v>447346.72</v>
      </c>
      <c r="J183" s="458">
        <v>116757.4</v>
      </c>
      <c r="K183" s="458">
        <v>5782.19</v>
      </c>
      <c r="L183" s="458">
        <v>0</v>
      </c>
      <c r="M183" s="459">
        <v>0</v>
      </c>
      <c r="N183" s="454">
        <f t="shared" si="20"/>
        <v>6184960.140000001</v>
      </c>
      <c r="O183" s="6">
        <f>SUM(N182:N183)</f>
        <v>7215768.600000001</v>
      </c>
      <c r="S183" s="7"/>
      <c r="T183" s="7"/>
      <c r="U183" s="7"/>
      <c r="V183" s="7"/>
      <c r="W183" s="7"/>
      <c r="X183" s="7"/>
      <c r="Y183" s="6"/>
    </row>
    <row r="184" spans="1:25" ht="12.75">
      <c r="A184" s="498" t="s">
        <v>173</v>
      </c>
      <c r="B184" s="462" t="s">
        <v>7</v>
      </c>
      <c r="C184" s="463">
        <v>779946.2199999996</v>
      </c>
      <c r="D184" s="463">
        <v>0</v>
      </c>
      <c r="E184" s="464">
        <v>0</v>
      </c>
      <c r="F184" s="463">
        <v>34308.15</v>
      </c>
      <c r="G184" s="463">
        <v>46780.97</v>
      </c>
      <c r="H184" s="463">
        <v>0</v>
      </c>
      <c r="I184" s="465">
        <v>1354.43</v>
      </c>
      <c r="J184" s="465">
        <v>0</v>
      </c>
      <c r="K184" s="465">
        <v>0</v>
      </c>
      <c r="L184" s="465">
        <v>0</v>
      </c>
      <c r="M184" s="466">
        <v>0</v>
      </c>
      <c r="N184" s="467">
        <f aca="true" t="shared" si="21" ref="N184:N189">SUM(C184:M184)</f>
        <v>862389.7699999997</v>
      </c>
      <c r="O184" s="6"/>
      <c r="S184" s="7"/>
      <c r="T184" s="7"/>
      <c r="U184" s="7"/>
      <c r="V184" s="7"/>
      <c r="W184" s="7"/>
      <c r="X184" s="7"/>
      <c r="Y184" s="6"/>
    </row>
    <row r="185" spans="1:25" ht="13.5" thickBot="1">
      <c r="A185" s="499"/>
      <c r="B185" s="468" t="s">
        <v>8</v>
      </c>
      <c r="C185" s="469">
        <v>3511811.5900000003</v>
      </c>
      <c r="D185" s="469">
        <v>475911.23</v>
      </c>
      <c r="E185" s="470">
        <v>770826.96</v>
      </c>
      <c r="F185" s="469">
        <v>341053.94</v>
      </c>
      <c r="G185" s="469">
        <v>300850.39</v>
      </c>
      <c r="H185" s="469">
        <v>1179731.93</v>
      </c>
      <c r="I185" s="471">
        <v>577346.72</v>
      </c>
      <c r="J185" s="471">
        <v>0</v>
      </c>
      <c r="K185" s="471">
        <v>2840.73</v>
      </c>
      <c r="L185" s="471">
        <v>0</v>
      </c>
      <c r="M185" s="472">
        <v>0</v>
      </c>
      <c r="N185" s="467">
        <f t="shared" si="21"/>
        <v>7160373.49</v>
      </c>
      <c r="O185" s="6">
        <f>SUM(N184:N185)</f>
        <v>8022763.26</v>
      </c>
      <c r="S185" s="7"/>
      <c r="T185" s="7"/>
      <c r="U185" s="7"/>
      <c r="V185" s="7"/>
      <c r="W185" s="7"/>
      <c r="X185" s="7"/>
      <c r="Y185" s="6"/>
    </row>
    <row r="186" spans="1:25" ht="12.75">
      <c r="A186" s="493" t="s">
        <v>193</v>
      </c>
      <c r="B186" s="473" t="s">
        <v>7</v>
      </c>
      <c r="C186" s="474">
        <v>8880.34</v>
      </c>
      <c r="D186" s="474">
        <v>0</v>
      </c>
      <c r="E186" s="474">
        <v>0</v>
      </c>
      <c r="F186" s="474">
        <v>839.3499999999999</v>
      </c>
      <c r="G186" s="474">
        <v>0</v>
      </c>
      <c r="H186" s="474">
        <v>0</v>
      </c>
      <c r="I186" s="475">
        <v>0</v>
      </c>
      <c r="J186" s="475">
        <v>0</v>
      </c>
      <c r="K186" s="475">
        <v>0</v>
      </c>
      <c r="L186" s="475">
        <v>0</v>
      </c>
      <c r="M186" s="476">
        <v>0</v>
      </c>
      <c r="N186" s="477">
        <f t="shared" si="21"/>
        <v>9719.69</v>
      </c>
      <c r="O186" s="6"/>
      <c r="S186" s="7"/>
      <c r="T186" s="7"/>
      <c r="U186" s="7"/>
      <c r="V186" s="7"/>
      <c r="W186" s="7"/>
      <c r="X186" s="7"/>
      <c r="Y186" s="6"/>
    </row>
    <row r="187" spans="1:25" ht="13.5" thickBot="1">
      <c r="A187" s="494"/>
      <c r="B187" s="478" t="s">
        <v>8</v>
      </c>
      <c r="C187" s="479">
        <v>89763.26000000002</v>
      </c>
      <c r="D187" s="479">
        <v>20263.350000000002</v>
      </c>
      <c r="E187" s="480">
        <v>24799.940000000002</v>
      </c>
      <c r="F187" s="479">
        <v>172651.57</v>
      </c>
      <c r="G187" s="479">
        <v>7097.13</v>
      </c>
      <c r="H187" s="479">
        <v>93787.14999999997</v>
      </c>
      <c r="I187" s="481">
        <v>30776.01</v>
      </c>
      <c r="J187" s="481">
        <v>0</v>
      </c>
      <c r="K187" s="481">
        <v>0</v>
      </c>
      <c r="L187" s="481">
        <v>0</v>
      </c>
      <c r="M187" s="482">
        <v>0</v>
      </c>
      <c r="N187" s="477">
        <f t="shared" si="21"/>
        <v>439138.41000000003</v>
      </c>
      <c r="O187" s="6">
        <f>SUM(N186:N187)</f>
        <v>448858.10000000003</v>
      </c>
      <c r="S187" s="7"/>
      <c r="T187" s="7"/>
      <c r="U187" s="7"/>
      <c r="V187" s="7"/>
      <c r="W187" s="7"/>
      <c r="X187" s="7"/>
      <c r="Y187" s="6"/>
    </row>
    <row r="188" spans="1:25" ht="12.75">
      <c r="A188" s="538" t="s">
        <v>207</v>
      </c>
      <c r="B188" s="483" t="s">
        <v>7</v>
      </c>
      <c r="C188" s="484"/>
      <c r="D188" s="484">
        <v>0</v>
      </c>
      <c r="E188" s="484">
        <v>0</v>
      </c>
      <c r="F188" s="484"/>
      <c r="G188" s="484">
        <v>0</v>
      </c>
      <c r="H188" s="484">
        <v>0</v>
      </c>
      <c r="I188" s="485">
        <v>0</v>
      </c>
      <c r="J188" s="485">
        <v>0</v>
      </c>
      <c r="K188" s="485">
        <v>0</v>
      </c>
      <c r="L188" s="485">
        <v>0</v>
      </c>
      <c r="M188" s="486">
        <v>0</v>
      </c>
      <c r="N188" s="487">
        <f t="shared" si="21"/>
        <v>0</v>
      </c>
      <c r="O188" s="6"/>
      <c r="S188" s="7"/>
      <c r="T188" s="7"/>
      <c r="U188" s="7"/>
      <c r="V188" s="7"/>
      <c r="W188" s="7"/>
      <c r="X188" s="7"/>
      <c r="Y188" s="6"/>
    </row>
    <row r="189" spans="1:25" ht="13.5" thickBot="1">
      <c r="A189" s="539"/>
      <c r="B189" s="488" t="s">
        <v>8</v>
      </c>
      <c r="C189" s="489"/>
      <c r="D189" s="489"/>
      <c r="E189" s="490"/>
      <c r="F189" s="489"/>
      <c r="G189" s="489"/>
      <c r="H189" s="489"/>
      <c r="I189" s="491"/>
      <c r="J189" s="491">
        <v>0</v>
      </c>
      <c r="K189" s="491">
        <v>0</v>
      </c>
      <c r="L189" s="491">
        <v>0</v>
      </c>
      <c r="M189" s="492">
        <v>0</v>
      </c>
      <c r="N189" s="487">
        <f t="shared" si="21"/>
        <v>0</v>
      </c>
      <c r="O189" s="6">
        <f>SUM(N188:N189)</f>
        <v>0</v>
      </c>
      <c r="S189" s="7"/>
      <c r="T189" s="7"/>
      <c r="U189" s="7"/>
      <c r="V189" s="7"/>
      <c r="W189" s="7"/>
      <c r="X189" s="7"/>
      <c r="Y189" s="6"/>
    </row>
    <row r="190" spans="1:24" ht="12.75">
      <c r="A190" s="536">
        <v>36281</v>
      </c>
      <c r="B190" s="34" t="s">
        <v>7</v>
      </c>
      <c r="C190" s="87">
        <v>1107238</v>
      </c>
      <c r="D190" s="87">
        <v>71216</v>
      </c>
      <c r="E190" s="87">
        <v>30350</v>
      </c>
      <c r="F190" s="87">
        <v>3321943</v>
      </c>
      <c r="G190" s="87"/>
      <c r="H190" s="87"/>
      <c r="I190" s="107">
        <v>30776.01</v>
      </c>
      <c r="J190" s="107"/>
      <c r="K190" s="107"/>
      <c r="L190" s="107"/>
      <c r="M190" s="35">
        <v>57698</v>
      </c>
      <c r="N190" s="5">
        <f aca="true" t="shared" si="22" ref="N190:N201">SUM(C190:M190)</f>
        <v>4619221.01</v>
      </c>
      <c r="S190" s="7"/>
      <c r="T190" s="7"/>
      <c r="U190" s="7"/>
      <c r="V190" s="7"/>
      <c r="W190" s="7"/>
      <c r="X190" s="7"/>
    </row>
    <row r="191" spans="1:24" ht="12.75">
      <c r="A191" s="537"/>
      <c r="B191" s="36" t="s">
        <v>8</v>
      </c>
      <c r="C191" s="88">
        <v>58022</v>
      </c>
      <c r="D191" s="88">
        <v>0</v>
      </c>
      <c r="E191" s="88">
        <v>2337</v>
      </c>
      <c r="F191" s="88">
        <v>41872</v>
      </c>
      <c r="G191" s="88"/>
      <c r="H191" s="88"/>
      <c r="I191" s="108">
        <v>1655</v>
      </c>
      <c r="J191" s="108"/>
      <c r="K191" s="108"/>
      <c r="L191" s="108"/>
      <c r="M191" s="37">
        <v>0</v>
      </c>
      <c r="N191" s="5">
        <f t="shared" si="22"/>
        <v>103886</v>
      </c>
      <c r="O191" s="6">
        <f>SUM(N190:N191)</f>
        <v>4723107.01</v>
      </c>
      <c r="S191" s="7"/>
      <c r="T191" s="7"/>
      <c r="U191" s="7"/>
      <c r="V191" s="7"/>
      <c r="W191" s="7"/>
      <c r="X191" s="7"/>
    </row>
    <row r="192" spans="1:24" ht="12.75">
      <c r="A192" s="535">
        <v>36647</v>
      </c>
      <c r="B192" s="38" t="s">
        <v>7</v>
      </c>
      <c r="C192" s="89">
        <f>'[1]2000'!C16</f>
        <v>1239823.88</v>
      </c>
      <c r="D192" s="89">
        <f>'[1]2000'!D16</f>
        <v>78655</v>
      </c>
      <c r="E192" s="89">
        <f>'[1]2000'!E16</f>
        <v>38143</v>
      </c>
      <c r="F192" s="89">
        <f>'[1]2000'!F16</f>
        <v>3637775</v>
      </c>
      <c r="G192" s="89"/>
      <c r="H192" s="89"/>
      <c r="I192" s="109">
        <f>'[1]2000'!G16</f>
        <v>46805.72</v>
      </c>
      <c r="J192" s="109"/>
      <c r="K192" s="109"/>
      <c r="L192" s="109"/>
      <c r="M192" s="39">
        <f>'[1]2000'!H16</f>
        <v>56977.41</v>
      </c>
      <c r="N192" s="8">
        <f t="shared" si="22"/>
        <v>5098180.01</v>
      </c>
      <c r="S192" s="7"/>
      <c r="T192" s="7"/>
      <c r="U192" s="7"/>
      <c r="V192" s="7"/>
      <c r="W192" s="7"/>
      <c r="X192" s="7"/>
    </row>
    <row r="193" spans="1:24" ht="12.75">
      <c r="A193" s="535"/>
      <c r="B193" s="40" t="s">
        <v>8</v>
      </c>
      <c r="C193" s="82">
        <f>'[1]2000'!C17</f>
        <v>65253.89</v>
      </c>
      <c r="D193" s="82">
        <f>'[1]2000'!D17</f>
        <v>0</v>
      </c>
      <c r="E193" s="82">
        <f>'[1]2000'!E17</f>
        <v>2531.07</v>
      </c>
      <c r="F193" s="82">
        <f>'[1]2000'!F17</f>
        <v>118290.29</v>
      </c>
      <c r="G193" s="82"/>
      <c r="H193" s="82"/>
      <c r="I193" s="104">
        <f>'[1]2000'!G17</f>
        <v>34308.25</v>
      </c>
      <c r="J193" s="104"/>
      <c r="K193" s="104"/>
      <c r="L193" s="104"/>
      <c r="M193" s="41">
        <f>'[1]2000'!H17</f>
        <v>0</v>
      </c>
      <c r="N193" s="8">
        <f t="shared" si="22"/>
        <v>220383.5</v>
      </c>
      <c r="O193" s="6">
        <f>SUM(N192:N193)</f>
        <v>5318563.51</v>
      </c>
      <c r="S193" s="7"/>
      <c r="T193" s="7"/>
      <c r="U193" s="7"/>
      <c r="V193" s="7"/>
      <c r="W193" s="7"/>
      <c r="X193" s="7"/>
    </row>
    <row r="194" spans="1:24" ht="12.75">
      <c r="A194" s="497">
        <f>A192+366</f>
        <v>37013</v>
      </c>
      <c r="B194" s="26" t="s">
        <v>7</v>
      </c>
      <c r="C194" s="83">
        <v>1267051.32</v>
      </c>
      <c r="D194" s="83">
        <v>44512.04</v>
      </c>
      <c r="E194" s="83">
        <v>8306.49</v>
      </c>
      <c r="F194" s="83">
        <v>3688497</v>
      </c>
      <c r="G194" s="83"/>
      <c r="H194" s="83"/>
      <c r="I194" s="105">
        <v>53781</v>
      </c>
      <c r="J194" s="105"/>
      <c r="K194" s="105"/>
      <c r="L194" s="105"/>
      <c r="M194" s="27">
        <v>30810.16</v>
      </c>
      <c r="N194" s="9">
        <f t="shared" si="22"/>
        <v>5092958.01</v>
      </c>
      <c r="S194" s="7"/>
      <c r="T194" s="7"/>
      <c r="U194" s="7"/>
      <c r="V194" s="7"/>
      <c r="W194" s="7"/>
      <c r="X194" s="7"/>
    </row>
    <row r="195" spans="1:24" ht="12.75">
      <c r="A195" s="497"/>
      <c r="B195" s="28" t="s">
        <v>8</v>
      </c>
      <c r="C195" s="84">
        <v>66629.7</v>
      </c>
      <c r="D195" s="84">
        <v>0</v>
      </c>
      <c r="E195" s="84">
        <v>5026.15</v>
      </c>
      <c r="F195" s="84">
        <v>125337</v>
      </c>
      <c r="G195" s="84"/>
      <c r="H195" s="84"/>
      <c r="I195" s="20">
        <v>61387.23</v>
      </c>
      <c r="J195" s="20"/>
      <c r="K195" s="20"/>
      <c r="L195" s="20"/>
      <c r="M195" s="29">
        <v>2637.69</v>
      </c>
      <c r="N195" s="9">
        <f t="shared" si="22"/>
        <v>261017.77</v>
      </c>
      <c r="O195" s="6">
        <f>SUM(N194:N195)</f>
        <v>5353975.779999999</v>
      </c>
      <c r="S195" s="7"/>
      <c r="T195" s="7"/>
      <c r="U195" s="7"/>
      <c r="V195" s="7"/>
      <c r="W195" s="7"/>
      <c r="X195" s="7"/>
    </row>
    <row r="196" spans="1:24" ht="12.75">
      <c r="A196" s="534">
        <v>37377</v>
      </c>
      <c r="B196" s="30" t="s">
        <v>7</v>
      </c>
      <c r="C196" s="85">
        <v>830488.73</v>
      </c>
      <c r="D196" s="85">
        <v>53152</v>
      </c>
      <c r="E196" s="85">
        <v>0</v>
      </c>
      <c r="F196" s="85">
        <v>2668015.64</v>
      </c>
      <c r="G196" s="85"/>
      <c r="H196" s="85"/>
      <c r="I196" s="106">
        <v>322288.02</v>
      </c>
      <c r="J196" s="106"/>
      <c r="K196" s="106"/>
      <c r="L196" s="106"/>
      <c r="M196" s="31">
        <v>8781.36</v>
      </c>
      <c r="N196" s="19">
        <f t="shared" si="22"/>
        <v>3882725.75</v>
      </c>
      <c r="O196" s="6"/>
      <c r="S196" s="7"/>
      <c r="T196" s="7"/>
      <c r="U196" s="7"/>
      <c r="V196" s="7"/>
      <c r="W196" s="7"/>
      <c r="X196" s="7"/>
    </row>
    <row r="197" spans="1:24" ht="12.75">
      <c r="A197" s="534"/>
      <c r="B197" s="32" t="s">
        <v>8</v>
      </c>
      <c r="C197" s="86">
        <v>43680.51</v>
      </c>
      <c r="D197" s="86">
        <v>77428.3</v>
      </c>
      <c r="E197" s="86">
        <v>23043.11</v>
      </c>
      <c r="F197" s="86">
        <v>95277.32</v>
      </c>
      <c r="G197" s="86"/>
      <c r="H197" s="86">
        <v>2674.04</v>
      </c>
      <c r="I197" s="22">
        <v>62049.54</v>
      </c>
      <c r="J197" s="22"/>
      <c r="K197" s="22"/>
      <c r="L197" s="22"/>
      <c r="M197" s="33">
        <v>5093.69</v>
      </c>
      <c r="N197" s="19">
        <f t="shared" si="22"/>
        <v>309246.51</v>
      </c>
      <c r="O197" s="6">
        <f>SUM(N196:N197)</f>
        <v>4191972.26</v>
      </c>
      <c r="S197" s="7"/>
      <c r="T197" s="7"/>
      <c r="U197" s="7"/>
      <c r="V197" s="7"/>
      <c r="W197" s="7"/>
      <c r="X197" s="7"/>
    </row>
    <row r="198" spans="1:24" ht="12.75">
      <c r="A198" s="519">
        <v>37742</v>
      </c>
      <c r="B198" s="115" t="s">
        <v>7</v>
      </c>
      <c r="C198" s="116">
        <v>977252.86</v>
      </c>
      <c r="D198" s="116">
        <v>116573</v>
      </c>
      <c r="E198" s="116">
        <v>0</v>
      </c>
      <c r="F198" s="116">
        <f>35224.31+2775892.22</f>
        <v>2811116.5300000003</v>
      </c>
      <c r="G198" s="116"/>
      <c r="H198" s="116"/>
      <c r="I198" s="117">
        <v>34053</v>
      </c>
      <c r="J198" s="117"/>
      <c r="K198" s="117"/>
      <c r="L198" s="117"/>
      <c r="M198" s="118">
        <v>45604.19</v>
      </c>
      <c r="N198" s="113">
        <f t="shared" si="22"/>
        <v>3984599.58</v>
      </c>
      <c r="O198" s="6"/>
      <c r="S198" s="7"/>
      <c r="T198" s="7"/>
      <c r="U198" s="7"/>
      <c r="V198" s="7"/>
      <c r="W198" s="7"/>
      <c r="X198" s="7"/>
    </row>
    <row r="199" spans="1:24" ht="13.5" thickBot="1">
      <c r="A199" s="520"/>
      <c r="B199" s="119" t="s">
        <v>8</v>
      </c>
      <c r="C199" s="120">
        <v>120038.14</v>
      </c>
      <c r="D199" s="120">
        <v>95349.46</v>
      </c>
      <c r="E199" s="120">
        <v>51516</v>
      </c>
      <c r="F199" s="120">
        <v>133132.59</v>
      </c>
      <c r="G199" s="120"/>
      <c r="H199" s="120">
        <v>7833.89</v>
      </c>
      <c r="I199" s="121">
        <v>140322.57</v>
      </c>
      <c r="J199" s="121"/>
      <c r="K199" s="121"/>
      <c r="L199" s="121"/>
      <c r="M199" s="67">
        <v>15453.58</v>
      </c>
      <c r="N199" s="113">
        <f t="shared" si="22"/>
        <v>563646.2299999999</v>
      </c>
      <c r="O199" s="6">
        <f>SUM(N198:N199)</f>
        <v>4548245.81</v>
      </c>
      <c r="S199" s="7"/>
      <c r="T199" s="7"/>
      <c r="U199" s="7"/>
      <c r="V199" s="7"/>
      <c r="W199" s="7"/>
      <c r="X199" s="7"/>
    </row>
    <row r="200" spans="1:24" ht="12.75">
      <c r="A200" s="523">
        <v>38108</v>
      </c>
      <c r="B200" s="214" t="s">
        <v>7</v>
      </c>
      <c r="C200" s="215">
        <v>1365017.02</v>
      </c>
      <c r="D200" s="215">
        <v>135155.51</v>
      </c>
      <c r="E200" s="215"/>
      <c r="F200" s="215">
        <f>2770092.64+31319.53</f>
        <v>2801412.17</v>
      </c>
      <c r="G200" s="215"/>
      <c r="H200" s="215"/>
      <c r="I200" s="216">
        <v>108424.85</v>
      </c>
      <c r="J200" s="216"/>
      <c r="K200" s="216"/>
      <c r="L200" s="216"/>
      <c r="M200" s="217">
        <v>60667.3</v>
      </c>
      <c r="N200" s="218">
        <f t="shared" si="22"/>
        <v>4470676.85</v>
      </c>
      <c r="O200" s="6"/>
      <c r="S200" s="7"/>
      <c r="T200" s="7"/>
      <c r="U200" s="7"/>
      <c r="V200" s="7"/>
      <c r="W200" s="7"/>
      <c r="X200" s="7"/>
    </row>
    <row r="201" spans="1:24" ht="13.5" thickBot="1">
      <c r="A201" s="524"/>
      <c r="B201" s="223" t="s">
        <v>8</v>
      </c>
      <c r="C201" s="224">
        <v>320522.06</v>
      </c>
      <c r="D201" s="224">
        <v>174223.03</v>
      </c>
      <c r="E201" s="225">
        <v>113814.66</v>
      </c>
      <c r="F201" s="224">
        <f>261777.47</f>
        <v>261777.47</v>
      </c>
      <c r="G201" s="224"/>
      <c r="H201" s="224">
        <v>37446.54</v>
      </c>
      <c r="I201" s="226">
        <v>257692.98</v>
      </c>
      <c r="J201" s="226"/>
      <c r="K201" s="226"/>
      <c r="L201" s="226">
        <v>6556</v>
      </c>
      <c r="M201" s="227">
        <v>2790.14</v>
      </c>
      <c r="N201" s="218">
        <f t="shared" si="22"/>
        <v>1174822.88</v>
      </c>
      <c r="O201" s="6">
        <f>SUM(N200:N201)</f>
        <v>5645499.7299999995</v>
      </c>
      <c r="S201" s="7"/>
      <c r="T201" s="7"/>
      <c r="U201" s="7"/>
      <c r="V201" s="7"/>
      <c r="W201" s="7"/>
      <c r="X201" s="7"/>
    </row>
    <row r="202" spans="1:24" ht="12.75">
      <c r="A202" s="517">
        <v>38473</v>
      </c>
      <c r="B202" s="274" t="s">
        <v>7</v>
      </c>
      <c r="C202" s="275">
        <v>999368.07</v>
      </c>
      <c r="D202" s="275">
        <v>92821.41</v>
      </c>
      <c r="E202" s="275"/>
      <c r="F202" s="275">
        <f>39648.93+2202487.14</f>
        <v>2242136.0700000003</v>
      </c>
      <c r="G202" s="275"/>
      <c r="H202" s="275"/>
      <c r="I202" s="276">
        <v>97908.72</v>
      </c>
      <c r="J202" s="276"/>
      <c r="K202" s="276"/>
      <c r="L202" s="276"/>
      <c r="M202" s="277">
        <v>31566.97</v>
      </c>
      <c r="N202" s="273">
        <f aca="true" t="shared" si="23" ref="N202:N207">SUM(C202:M202)</f>
        <v>3463801.2400000007</v>
      </c>
      <c r="O202" s="6"/>
      <c r="S202" s="7"/>
      <c r="T202" s="7"/>
      <c r="U202" s="7"/>
      <c r="V202" s="7"/>
      <c r="W202" s="7"/>
      <c r="X202" s="7"/>
    </row>
    <row r="203" spans="1:24" ht="13.5" thickBot="1">
      <c r="A203" s="518"/>
      <c r="B203" s="282" t="s">
        <v>8</v>
      </c>
      <c r="C203" s="283">
        <v>467771.11</v>
      </c>
      <c r="D203" s="283">
        <v>97966.49</v>
      </c>
      <c r="E203" s="284">
        <v>60772.53</v>
      </c>
      <c r="F203" s="283">
        <f>162274.29</f>
        <v>162274.29</v>
      </c>
      <c r="G203" s="283">
        <v>6801.58</v>
      </c>
      <c r="H203" s="283">
        <v>84668.41</v>
      </c>
      <c r="I203" s="285">
        <v>162443.17</v>
      </c>
      <c r="J203" s="285"/>
      <c r="K203" s="285"/>
      <c r="L203" s="285">
        <v>21926</v>
      </c>
      <c r="M203" s="286">
        <v>7745.48</v>
      </c>
      <c r="N203" s="273">
        <f t="shared" si="23"/>
        <v>1072369.06</v>
      </c>
      <c r="O203" s="6">
        <f>SUM(N202:N203)</f>
        <v>4536170.300000001</v>
      </c>
      <c r="S203" s="7"/>
      <c r="T203" s="7"/>
      <c r="U203" s="7"/>
      <c r="V203" s="7"/>
      <c r="W203" s="7"/>
      <c r="X203" s="7"/>
    </row>
    <row r="204" spans="1:24" ht="12.75">
      <c r="A204" s="527">
        <v>38838</v>
      </c>
      <c r="B204" s="289" t="s">
        <v>7</v>
      </c>
      <c r="C204" s="290">
        <v>1132074.31</v>
      </c>
      <c r="D204" s="290"/>
      <c r="E204" s="290"/>
      <c r="F204" s="290">
        <f>13151.3+2097298.86</f>
        <v>2110450.1599999997</v>
      </c>
      <c r="G204" s="290">
        <v>379.76</v>
      </c>
      <c r="H204" s="290"/>
      <c r="I204" s="291">
        <v>77119.69</v>
      </c>
      <c r="J204" s="291"/>
      <c r="K204" s="291"/>
      <c r="L204" s="291"/>
      <c r="M204" s="292">
        <v>24478.87</v>
      </c>
      <c r="N204" s="293">
        <f t="shared" si="23"/>
        <v>3344502.7899999996</v>
      </c>
      <c r="O204" s="6"/>
      <c r="S204" s="7"/>
      <c r="T204" s="7"/>
      <c r="U204" s="7"/>
      <c r="V204" s="7"/>
      <c r="W204" s="7"/>
      <c r="X204" s="7"/>
    </row>
    <row r="205" spans="1:24" ht="13.5" thickBot="1">
      <c r="A205" s="528"/>
      <c r="B205" s="299" t="s">
        <v>8</v>
      </c>
      <c r="C205" s="300">
        <v>678466.83</v>
      </c>
      <c r="D205" s="300">
        <v>253473.43</v>
      </c>
      <c r="E205" s="301">
        <v>116025.78</v>
      </c>
      <c r="F205" s="300">
        <f>200871.65</f>
        <v>200871.65</v>
      </c>
      <c r="G205" s="300">
        <v>107229.79</v>
      </c>
      <c r="H205" s="300">
        <v>130934.28</v>
      </c>
      <c r="I205" s="302">
        <v>133680.38</v>
      </c>
      <c r="J205" s="302"/>
      <c r="K205" s="302"/>
      <c r="L205" s="302">
        <v>0</v>
      </c>
      <c r="M205" s="303">
        <v>4519.11</v>
      </c>
      <c r="N205" s="293">
        <f t="shared" si="23"/>
        <v>1625201.2500000002</v>
      </c>
      <c r="O205" s="6">
        <f>SUM(N204:N205)</f>
        <v>4969704.04</v>
      </c>
      <c r="S205" s="7"/>
      <c r="T205" s="7"/>
      <c r="U205" s="7"/>
      <c r="V205" s="7"/>
      <c r="W205" s="7"/>
      <c r="X205" s="7"/>
    </row>
    <row r="206" spans="1:24" ht="12.75">
      <c r="A206" s="502" t="s">
        <v>43</v>
      </c>
      <c r="B206" s="305" t="s">
        <v>7</v>
      </c>
      <c r="C206" s="306">
        <v>943688.06</v>
      </c>
      <c r="D206" s="306">
        <v>38852.42</v>
      </c>
      <c r="E206" s="306">
        <v>0</v>
      </c>
      <c r="F206" s="306">
        <f>2456405.17+16127.12</f>
        <v>2472532.29</v>
      </c>
      <c r="G206" s="306">
        <v>0</v>
      </c>
      <c r="H206" s="306">
        <v>0</v>
      </c>
      <c r="I206" s="307">
        <v>60874.25</v>
      </c>
      <c r="J206" s="307"/>
      <c r="K206" s="307"/>
      <c r="L206" s="307">
        <v>0</v>
      </c>
      <c r="M206" s="308">
        <f>21246.19</f>
        <v>21246.19</v>
      </c>
      <c r="N206" s="304">
        <f t="shared" si="23"/>
        <v>3537193.21</v>
      </c>
      <c r="O206" s="6"/>
      <c r="S206" s="7"/>
      <c r="T206" s="7"/>
      <c r="U206" s="7"/>
      <c r="V206" s="7"/>
      <c r="W206" s="7"/>
      <c r="X206" s="7"/>
    </row>
    <row r="207" spans="1:24" ht="13.5" thickBot="1">
      <c r="A207" s="503"/>
      <c r="B207" s="313" t="s">
        <v>8</v>
      </c>
      <c r="C207" s="309">
        <f>882854.2-44142.71</f>
        <v>838711.49</v>
      </c>
      <c r="D207" s="309">
        <v>271766.89</v>
      </c>
      <c r="E207" s="310">
        <v>134681.36</v>
      </c>
      <c r="F207" s="309">
        <f>212060.91</f>
        <v>212060.91</v>
      </c>
      <c r="G207" s="309">
        <v>102334.21</v>
      </c>
      <c r="H207" s="309">
        <v>132140.6</v>
      </c>
      <c r="I207" s="311">
        <v>106902.26</v>
      </c>
      <c r="J207" s="311"/>
      <c r="K207" s="311"/>
      <c r="L207" s="311">
        <v>0</v>
      </c>
      <c r="M207" s="312">
        <v>2094.54</v>
      </c>
      <c r="N207" s="304">
        <f t="shared" si="23"/>
        <v>1800692.2599999998</v>
      </c>
      <c r="O207" s="6">
        <f>SUM(N206:N207)</f>
        <v>5337885.47</v>
      </c>
      <c r="S207" s="7"/>
      <c r="T207" s="7"/>
      <c r="U207" s="7"/>
      <c r="V207" s="7"/>
      <c r="W207" s="7"/>
      <c r="X207" s="7"/>
    </row>
    <row r="208" spans="1:25" ht="12.75">
      <c r="A208" s="511" t="s">
        <v>57</v>
      </c>
      <c r="B208" s="318" t="s">
        <v>7</v>
      </c>
      <c r="C208" s="319">
        <v>1129133.51</v>
      </c>
      <c r="D208" s="319">
        <v>2311.66</v>
      </c>
      <c r="E208" s="319">
        <v>0</v>
      </c>
      <c r="F208" s="319">
        <f>2721058.55+6578.78</f>
        <v>2727637.3299999996</v>
      </c>
      <c r="G208" s="319">
        <v>718.24</v>
      </c>
      <c r="H208" s="319">
        <v>0</v>
      </c>
      <c r="I208" s="320">
        <v>96069.55</v>
      </c>
      <c r="J208" s="320"/>
      <c r="K208" s="320"/>
      <c r="L208" s="320">
        <v>0</v>
      </c>
      <c r="M208" s="321">
        <v>6550.27</v>
      </c>
      <c r="N208" s="322">
        <f>SUM(B208:M208)</f>
        <v>3962420.5599999996</v>
      </c>
      <c r="O208" s="6"/>
      <c r="S208" s="7"/>
      <c r="T208" s="7"/>
      <c r="U208" s="7"/>
      <c r="V208" s="7"/>
      <c r="W208" s="7"/>
      <c r="X208" s="7"/>
      <c r="Y208" s="6"/>
    </row>
    <row r="209" spans="1:25" ht="13.5" thickBot="1">
      <c r="A209" s="512"/>
      <c r="B209" s="323" t="s">
        <v>8</v>
      </c>
      <c r="C209" s="324">
        <v>1066574.4</v>
      </c>
      <c r="D209" s="324">
        <v>325332.66</v>
      </c>
      <c r="E209" s="325">
        <v>302171.89</v>
      </c>
      <c r="F209" s="324">
        <f>124191.2</f>
        <v>124191.2</v>
      </c>
      <c r="G209" s="324">
        <v>104474.22</v>
      </c>
      <c r="H209" s="324">
        <v>221485.1</v>
      </c>
      <c r="I209" s="326">
        <v>149573.55</v>
      </c>
      <c r="J209" s="326"/>
      <c r="K209" s="326"/>
      <c r="L209" s="326">
        <v>0</v>
      </c>
      <c r="M209" s="327">
        <v>9377.8</v>
      </c>
      <c r="N209" s="322">
        <f>SUM(B209:M209)</f>
        <v>2303180.8199999994</v>
      </c>
      <c r="O209" s="6">
        <f>SUM(N208:N209)</f>
        <v>6265601.379999999</v>
      </c>
      <c r="S209" s="7"/>
      <c r="T209" s="7"/>
      <c r="U209" s="7"/>
      <c r="V209" s="7"/>
      <c r="W209" s="7"/>
      <c r="X209" s="7"/>
      <c r="Y209" s="6"/>
    </row>
    <row r="210" spans="1:25" ht="12.75">
      <c r="A210" s="532" t="s">
        <v>72</v>
      </c>
      <c r="B210" s="333" t="s">
        <v>7</v>
      </c>
      <c r="C210" s="334">
        <v>1267665.28</v>
      </c>
      <c r="D210" s="334">
        <v>431.49</v>
      </c>
      <c r="E210" s="334">
        <v>0</v>
      </c>
      <c r="F210" s="334">
        <f>44198.8+748326.69</f>
        <v>792525.49</v>
      </c>
      <c r="G210" s="334">
        <f>90993.32</f>
        <v>90993.32</v>
      </c>
      <c r="H210" s="334">
        <v>0</v>
      </c>
      <c r="I210" s="335">
        <v>43838.64</v>
      </c>
      <c r="J210" s="335"/>
      <c r="K210" s="335">
        <v>0</v>
      </c>
      <c r="L210" s="335">
        <v>0</v>
      </c>
      <c r="M210" s="336">
        <v>0</v>
      </c>
      <c r="N210" s="337">
        <f>SUM(C210:M210)</f>
        <v>2195454.22</v>
      </c>
      <c r="O210" s="6"/>
      <c r="S210" s="7"/>
      <c r="T210" s="7"/>
      <c r="U210" s="7"/>
      <c r="V210" s="7"/>
      <c r="W210" s="7"/>
      <c r="X210" s="7"/>
      <c r="Y210" s="6"/>
    </row>
    <row r="211" spans="1:25" ht="13.5" thickBot="1">
      <c r="A211" s="533"/>
      <c r="B211" s="338" t="s">
        <v>8</v>
      </c>
      <c r="C211" s="339">
        <v>975007.26</v>
      </c>
      <c r="D211" s="339">
        <v>230459.79</v>
      </c>
      <c r="E211" s="340">
        <v>365071.98</v>
      </c>
      <c r="F211" s="339">
        <f>154402.88</f>
        <v>154402.88</v>
      </c>
      <c r="G211" s="339">
        <f>103164.3</f>
        <v>103164.3</v>
      </c>
      <c r="H211" s="339">
        <v>200621.51</v>
      </c>
      <c r="I211" s="341">
        <f>171565.59</f>
        <v>171565.59</v>
      </c>
      <c r="J211" s="341"/>
      <c r="K211" s="341">
        <v>10974.37</v>
      </c>
      <c r="L211" s="341">
        <v>0</v>
      </c>
      <c r="M211" s="342">
        <v>0</v>
      </c>
      <c r="N211" s="337">
        <f>SUM(C211:M211)</f>
        <v>2211267.68</v>
      </c>
      <c r="O211" s="6">
        <f>SUM(N210:N211)</f>
        <v>4406721.9</v>
      </c>
      <c r="S211" s="7"/>
      <c r="T211" s="7"/>
      <c r="U211" s="7"/>
      <c r="V211" s="7"/>
      <c r="W211" s="7"/>
      <c r="X211" s="7"/>
      <c r="Y211" s="6"/>
    </row>
    <row r="212" spans="1:25" ht="12.75">
      <c r="A212" s="506" t="s">
        <v>86</v>
      </c>
      <c r="B212" s="347" t="s">
        <v>7</v>
      </c>
      <c r="C212" s="348">
        <v>1042518.88</v>
      </c>
      <c r="D212" s="348">
        <v>898.72</v>
      </c>
      <c r="E212" s="348">
        <v>0</v>
      </c>
      <c r="F212" s="348">
        <f>10373.79+346173.64</f>
        <v>356547.43</v>
      </c>
      <c r="G212" s="348">
        <f>80835.57</f>
        <v>80835.57</v>
      </c>
      <c r="H212" s="348">
        <v>0</v>
      </c>
      <c r="I212" s="349">
        <v>33263.26</v>
      </c>
      <c r="J212" s="349"/>
      <c r="K212" s="349">
        <v>0</v>
      </c>
      <c r="L212" s="349">
        <v>0</v>
      </c>
      <c r="M212" s="350">
        <v>0</v>
      </c>
      <c r="N212" s="351">
        <f>SUM(C212:M212)</f>
        <v>1514063.86</v>
      </c>
      <c r="O212" s="6"/>
      <c r="S212" s="7"/>
      <c r="T212" s="7"/>
      <c r="U212" s="7"/>
      <c r="V212" s="7"/>
      <c r="W212" s="7"/>
      <c r="X212" s="7"/>
      <c r="Y212" s="6"/>
    </row>
    <row r="213" spans="1:25" ht="13.5" thickBot="1">
      <c r="A213" s="507" t="s">
        <v>82</v>
      </c>
      <c r="B213" s="352" t="s">
        <v>8</v>
      </c>
      <c r="C213" s="353">
        <v>698827.7</v>
      </c>
      <c r="D213" s="353">
        <v>117320.8</v>
      </c>
      <c r="E213" s="354">
        <v>215996.27</v>
      </c>
      <c r="F213" s="353">
        <f>118071.4</f>
        <v>118071.4</v>
      </c>
      <c r="G213" s="353">
        <f>93972.7</f>
        <v>93972.7</v>
      </c>
      <c r="H213" s="353">
        <v>119702.53</v>
      </c>
      <c r="I213" s="355">
        <v>84700.51</v>
      </c>
      <c r="J213" s="355"/>
      <c r="K213" s="355">
        <v>0</v>
      </c>
      <c r="L213" s="355">
        <v>0</v>
      </c>
      <c r="M213" s="356">
        <v>0</v>
      </c>
      <c r="N213" s="351">
        <f>SUM(C213:M213)</f>
        <v>1448591.91</v>
      </c>
      <c r="O213" s="6">
        <f>SUM(N212:N213)</f>
        <v>2962655.77</v>
      </c>
      <c r="S213" s="7"/>
      <c r="T213" s="7"/>
      <c r="U213" s="7"/>
      <c r="V213" s="7"/>
      <c r="W213" s="7"/>
      <c r="X213" s="7"/>
      <c r="Y213" s="6"/>
    </row>
    <row r="214" spans="1:25" ht="12.75">
      <c r="A214" s="513" t="s">
        <v>100</v>
      </c>
      <c r="B214" s="357" t="s">
        <v>7</v>
      </c>
      <c r="C214" s="358">
        <v>1283215.28</v>
      </c>
      <c r="D214" s="358">
        <f>249.85</f>
        <v>249.85</v>
      </c>
      <c r="E214" s="358">
        <v>0</v>
      </c>
      <c r="F214" s="358">
        <f>465264.16+26288.9</f>
        <v>491553.06</v>
      </c>
      <c r="G214" s="358">
        <v>68922.74</v>
      </c>
      <c r="H214" s="358">
        <v>0</v>
      </c>
      <c r="I214" s="359">
        <v>32438.04</v>
      </c>
      <c r="J214" s="359"/>
      <c r="K214" s="359">
        <v>0</v>
      </c>
      <c r="L214" s="359">
        <v>0</v>
      </c>
      <c r="M214" s="360">
        <v>0</v>
      </c>
      <c r="N214" s="361">
        <f aca="true" t="shared" si="24" ref="N214:N219">SUM(C214:M214)</f>
        <v>1876378.9700000002</v>
      </c>
      <c r="O214" s="6"/>
      <c r="S214" s="7"/>
      <c r="T214" s="7"/>
      <c r="U214" s="7"/>
      <c r="V214" s="7"/>
      <c r="W214" s="7"/>
      <c r="X214" s="7"/>
      <c r="Y214" s="6"/>
    </row>
    <row r="215" spans="1:25" ht="13.5" thickBot="1">
      <c r="A215" s="514" t="s">
        <v>82</v>
      </c>
      <c r="B215" s="362" t="s">
        <v>8</v>
      </c>
      <c r="C215" s="363">
        <v>974740.85</v>
      </c>
      <c r="D215" s="363">
        <f>179801.36</f>
        <v>179801.36</v>
      </c>
      <c r="E215" s="364">
        <v>231482.64</v>
      </c>
      <c r="F215" s="363">
        <f>104799.2</f>
        <v>104799.2</v>
      </c>
      <c r="G215" s="363">
        <v>85125.57</v>
      </c>
      <c r="H215" s="363">
        <v>172405.22</v>
      </c>
      <c r="I215" s="365">
        <v>132090.31</v>
      </c>
      <c r="J215" s="365"/>
      <c r="K215" s="365">
        <v>5796.74</v>
      </c>
      <c r="L215" s="365">
        <v>0</v>
      </c>
      <c r="M215" s="366">
        <v>0</v>
      </c>
      <c r="N215" s="361">
        <f t="shared" si="24"/>
        <v>1886241.8900000001</v>
      </c>
      <c r="O215" s="6">
        <f>SUM(N214:N215)</f>
        <v>3762620.8600000003</v>
      </c>
      <c r="S215" s="7"/>
      <c r="T215" s="7"/>
      <c r="U215" s="7"/>
      <c r="V215" s="7"/>
      <c r="W215" s="7"/>
      <c r="X215" s="7"/>
      <c r="Y215" s="6"/>
    </row>
    <row r="216" spans="1:25" ht="12.75">
      <c r="A216" s="525">
        <v>41030</v>
      </c>
      <c r="B216" s="367" t="s">
        <v>7</v>
      </c>
      <c r="C216" s="368">
        <v>1247554.69</v>
      </c>
      <c r="D216" s="368">
        <v>0</v>
      </c>
      <c r="E216" s="368">
        <v>0</v>
      </c>
      <c r="F216" s="368">
        <f>474414.89+53843.25</f>
        <v>528258.14</v>
      </c>
      <c r="G216" s="368">
        <v>16082.25</v>
      </c>
      <c r="H216" s="368">
        <v>0</v>
      </c>
      <c r="I216" s="369">
        <v>76758.41</v>
      </c>
      <c r="J216" s="369"/>
      <c r="K216" s="369">
        <v>0</v>
      </c>
      <c r="L216" s="369">
        <v>0</v>
      </c>
      <c r="M216" s="370">
        <v>0</v>
      </c>
      <c r="N216" s="371">
        <f t="shared" si="24"/>
        <v>1868653.49</v>
      </c>
      <c r="O216" s="6"/>
      <c r="S216" s="7"/>
      <c r="T216" s="7"/>
      <c r="U216" s="7"/>
      <c r="V216" s="7"/>
      <c r="W216" s="7"/>
      <c r="X216" s="7"/>
      <c r="Y216" s="6"/>
    </row>
    <row r="217" spans="1:25" ht="13.5" thickBot="1">
      <c r="A217" s="526"/>
      <c r="B217" s="372" t="s">
        <v>8</v>
      </c>
      <c r="C217" s="373">
        <v>1208261.52</v>
      </c>
      <c r="D217" s="373">
        <v>150209.27</v>
      </c>
      <c r="E217" s="373">
        <v>262836.39</v>
      </c>
      <c r="F217" s="373">
        <f>158576.3</f>
        <v>158576.3</v>
      </c>
      <c r="G217" s="373">
        <v>129953.73</v>
      </c>
      <c r="H217" s="373">
        <v>250558.41</v>
      </c>
      <c r="I217" s="374">
        <v>133466.5</v>
      </c>
      <c r="J217" s="374"/>
      <c r="K217" s="374">
        <v>3620.3</v>
      </c>
      <c r="L217" s="374">
        <v>0</v>
      </c>
      <c r="M217" s="375">
        <v>0</v>
      </c>
      <c r="N217" s="371">
        <f t="shared" si="24"/>
        <v>2297482.42</v>
      </c>
      <c r="O217" s="6">
        <f>SUM(N216:N217)</f>
        <v>4166135.91</v>
      </c>
      <c r="S217" s="7"/>
      <c r="T217" s="7"/>
      <c r="U217" s="7"/>
      <c r="V217" s="7"/>
      <c r="W217" s="7"/>
      <c r="X217" s="7"/>
      <c r="Y217" s="6"/>
    </row>
    <row r="218" spans="1:25" ht="12.75">
      <c r="A218" s="521">
        <v>41395</v>
      </c>
      <c r="B218" s="390" t="s">
        <v>7</v>
      </c>
      <c r="C218" s="391">
        <v>1757031.04</v>
      </c>
      <c r="D218" s="391">
        <v>0</v>
      </c>
      <c r="E218" s="391">
        <v>0</v>
      </c>
      <c r="F218" s="391">
        <f>252719.26+36135.94</f>
        <v>288855.2</v>
      </c>
      <c r="G218" s="391">
        <v>84394.34</v>
      </c>
      <c r="H218" s="391">
        <v>0</v>
      </c>
      <c r="I218" s="392">
        <f>50874.46</f>
        <v>50874.46</v>
      </c>
      <c r="J218" s="392">
        <v>0</v>
      </c>
      <c r="K218" s="392">
        <v>0</v>
      </c>
      <c r="L218" s="392">
        <v>0</v>
      </c>
      <c r="M218" s="393">
        <v>0</v>
      </c>
      <c r="N218" s="394">
        <f t="shared" si="24"/>
        <v>2181155.04</v>
      </c>
      <c r="O218" s="6"/>
      <c r="S218" s="7"/>
      <c r="T218" s="7"/>
      <c r="U218" s="7"/>
      <c r="V218" s="7"/>
      <c r="W218" s="7"/>
      <c r="X218" s="7"/>
      <c r="Y218" s="6"/>
    </row>
    <row r="219" spans="1:25" ht="13.5" thickBot="1">
      <c r="A219" s="531"/>
      <c r="B219" s="395" t="s">
        <v>8</v>
      </c>
      <c r="C219" s="396">
        <v>1203965.73</v>
      </c>
      <c r="D219" s="396">
        <v>193452.83</v>
      </c>
      <c r="E219" s="396">
        <v>388820.68</v>
      </c>
      <c r="F219" s="396">
        <f>218135.66</f>
        <v>218135.66</v>
      </c>
      <c r="G219" s="396">
        <v>123550.35</v>
      </c>
      <c r="H219" s="396">
        <v>297303.31</v>
      </c>
      <c r="I219" s="397">
        <f>130422.28</f>
        <v>130422.28</v>
      </c>
      <c r="J219" s="397">
        <v>93087.67</v>
      </c>
      <c r="K219" s="397">
        <v>5324.6</v>
      </c>
      <c r="L219" s="397">
        <v>0</v>
      </c>
      <c r="M219" s="398">
        <v>0</v>
      </c>
      <c r="N219" s="394">
        <f t="shared" si="24"/>
        <v>2654063.11</v>
      </c>
      <c r="O219" s="6">
        <f>SUM(N218:N219)</f>
        <v>4835218.15</v>
      </c>
      <c r="S219" s="7"/>
      <c r="T219" s="7"/>
      <c r="U219" s="7"/>
      <c r="V219" s="7"/>
      <c r="W219" s="7"/>
      <c r="X219" s="7"/>
      <c r="Y219" s="6"/>
    </row>
    <row r="220" spans="1:25" ht="12.75">
      <c r="A220" s="515">
        <v>41760</v>
      </c>
      <c r="B220" s="403" t="s">
        <v>7</v>
      </c>
      <c r="C220" s="404">
        <f>1234435.44+18591.36</f>
        <v>1253026.8</v>
      </c>
      <c r="D220" s="404">
        <v>0</v>
      </c>
      <c r="E220" s="404">
        <v>0</v>
      </c>
      <c r="F220" s="404">
        <f>45461.07+184216.57</f>
        <v>229677.64</v>
      </c>
      <c r="G220" s="404">
        <v>43352.6</v>
      </c>
      <c r="H220" s="404">
        <v>0</v>
      </c>
      <c r="I220" s="405">
        <v>35689.18</v>
      </c>
      <c r="J220" s="405">
        <v>0</v>
      </c>
      <c r="K220" s="405">
        <v>0</v>
      </c>
      <c r="L220" s="405">
        <v>0</v>
      </c>
      <c r="M220" s="406">
        <v>0</v>
      </c>
      <c r="N220" s="407">
        <f>SUM(C220:M220)</f>
        <v>1561746.22</v>
      </c>
      <c r="S220" s="7"/>
      <c r="T220" s="7"/>
      <c r="U220" s="7"/>
      <c r="V220" s="7"/>
      <c r="W220" s="7"/>
      <c r="X220" s="7"/>
      <c r="Y220" s="6"/>
    </row>
    <row r="221" spans="1:25" ht="13.5" thickBot="1">
      <c r="A221" s="516"/>
      <c r="B221" s="408" t="s">
        <v>8</v>
      </c>
      <c r="C221" s="409">
        <f>1344781.1+143394</f>
        <v>1488175.1</v>
      </c>
      <c r="D221" s="409">
        <v>192022.14</v>
      </c>
      <c r="E221" s="409">
        <v>313344.41</v>
      </c>
      <c r="F221" s="409">
        <f>241304.95+15413.64</f>
        <v>256718.59000000003</v>
      </c>
      <c r="G221" s="409">
        <v>155085.85</v>
      </c>
      <c r="H221" s="409">
        <v>294091.62</v>
      </c>
      <c r="I221" s="410">
        <v>260136.57</v>
      </c>
      <c r="J221" s="410">
        <v>75479.5</v>
      </c>
      <c r="K221" s="410">
        <v>4296.39</v>
      </c>
      <c r="L221" s="410">
        <v>0</v>
      </c>
      <c r="M221" s="411">
        <v>0</v>
      </c>
      <c r="N221" s="407">
        <f>SUM(C221:M221)</f>
        <v>3039350.1700000004</v>
      </c>
      <c r="O221" s="6">
        <f>SUM(N220:N221)</f>
        <v>4601096.390000001</v>
      </c>
      <c r="S221" s="7"/>
      <c r="T221" s="7"/>
      <c r="U221" s="7"/>
      <c r="V221" s="7"/>
      <c r="W221" s="7"/>
      <c r="X221" s="7"/>
      <c r="Y221" s="6"/>
    </row>
    <row r="222" spans="1:25" ht="12.75">
      <c r="A222" s="495">
        <v>42125</v>
      </c>
      <c r="B222" s="416" t="s">
        <v>7</v>
      </c>
      <c r="C222" s="417">
        <f>1373938.45+14820.74</f>
        <v>1388759.19</v>
      </c>
      <c r="D222" s="417">
        <v>0</v>
      </c>
      <c r="E222" s="417">
        <v>0</v>
      </c>
      <c r="F222" s="417">
        <f>141122.87+33628.09</f>
        <v>174750.96</v>
      </c>
      <c r="G222" s="417">
        <f>41368.52</f>
        <v>41368.52</v>
      </c>
      <c r="H222" s="417">
        <v>0</v>
      </c>
      <c r="I222" s="418">
        <v>41989.45</v>
      </c>
      <c r="J222" s="418">
        <v>0</v>
      </c>
      <c r="K222" s="418">
        <v>0</v>
      </c>
      <c r="L222" s="418">
        <v>0</v>
      </c>
      <c r="M222" s="419">
        <v>0</v>
      </c>
      <c r="N222" s="420">
        <f>SUM(C222:M222)</f>
        <v>1646868.1199999999</v>
      </c>
      <c r="O222" s="6"/>
      <c r="S222" s="7"/>
      <c r="T222" s="7"/>
      <c r="U222" s="7"/>
      <c r="V222" s="7"/>
      <c r="W222" s="7"/>
      <c r="X222" s="7"/>
      <c r="Y222" s="6"/>
    </row>
    <row r="223" spans="1:25" ht="13.5" thickBot="1">
      <c r="A223" s="496"/>
      <c r="B223" s="421" t="s">
        <v>8</v>
      </c>
      <c r="C223" s="422">
        <f>1576241.13+180765.44</f>
        <v>1757006.5699999998</v>
      </c>
      <c r="D223" s="422">
        <v>205311.21</v>
      </c>
      <c r="E223" s="423">
        <v>268096.46</v>
      </c>
      <c r="F223" s="422">
        <f>6625.87+184940.61</f>
        <v>191566.47999999998</v>
      </c>
      <c r="G223" s="422">
        <f>159981.11</f>
        <v>159981.11</v>
      </c>
      <c r="H223" s="422">
        <v>431653.75</v>
      </c>
      <c r="I223" s="424">
        <v>223414.33</v>
      </c>
      <c r="J223" s="424">
        <v>156608.57</v>
      </c>
      <c r="K223" s="424">
        <v>6195.38</v>
      </c>
      <c r="L223" s="424">
        <v>0</v>
      </c>
      <c r="M223" s="425">
        <v>0</v>
      </c>
      <c r="N223" s="420">
        <f>SUM(C223:M223)</f>
        <v>3399833.8599999994</v>
      </c>
      <c r="O223" s="6">
        <f>SUM(N222:N223)</f>
        <v>5046701.9799999995</v>
      </c>
      <c r="S223" s="7"/>
      <c r="T223" s="7"/>
      <c r="U223" s="7"/>
      <c r="V223" s="7"/>
      <c r="W223" s="7"/>
      <c r="X223" s="7"/>
      <c r="Y223" s="6"/>
    </row>
    <row r="224" spans="1:25" ht="12.75">
      <c r="A224" s="511" t="s">
        <v>132</v>
      </c>
      <c r="B224" s="427" t="s">
        <v>7</v>
      </c>
      <c r="C224" s="428">
        <v>1155528.8</v>
      </c>
      <c r="D224" s="428">
        <v>0</v>
      </c>
      <c r="E224" s="428">
        <v>0</v>
      </c>
      <c r="F224" s="428">
        <f>91707.41+18399.06</f>
        <v>110106.47</v>
      </c>
      <c r="G224" s="428">
        <v>30588.7</v>
      </c>
      <c r="H224" s="428">
        <v>0</v>
      </c>
      <c r="I224" s="429">
        <v>25917.13</v>
      </c>
      <c r="J224" s="429">
        <v>0</v>
      </c>
      <c r="K224" s="429">
        <v>0</v>
      </c>
      <c r="L224" s="429">
        <v>0</v>
      </c>
      <c r="M224" s="430">
        <v>0</v>
      </c>
      <c r="N224" s="431">
        <f aca="true" t="shared" si="25" ref="N224:N229">SUM(C224:M224)</f>
        <v>1322141.0999999999</v>
      </c>
      <c r="O224" s="6"/>
      <c r="S224" s="7"/>
      <c r="T224" s="7"/>
      <c r="U224" s="7"/>
      <c r="V224" s="7"/>
      <c r="W224" s="7"/>
      <c r="X224" s="7"/>
      <c r="Y224" s="6"/>
    </row>
    <row r="225" spans="1:25" ht="13.5" thickBot="1">
      <c r="A225" s="512"/>
      <c r="B225" s="432" t="s">
        <v>8</v>
      </c>
      <c r="C225" s="433">
        <v>1893387.58</v>
      </c>
      <c r="D225" s="433">
        <v>204867.6</v>
      </c>
      <c r="E225" s="434">
        <v>266374.68</v>
      </c>
      <c r="F225" s="433">
        <f>269620.55</f>
        <v>269620.55</v>
      </c>
      <c r="G225" s="433">
        <v>205580.93</v>
      </c>
      <c r="H225" s="433">
        <v>606473.44</v>
      </c>
      <c r="I225" s="435">
        <v>267343.34</v>
      </c>
      <c r="J225" s="435">
        <v>149586.04</v>
      </c>
      <c r="K225" s="435">
        <v>3490.15</v>
      </c>
      <c r="L225" s="435">
        <v>0</v>
      </c>
      <c r="M225" s="436">
        <v>0</v>
      </c>
      <c r="N225" s="431">
        <f t="shared" si="25"/>
        <v>3866724.31</v>
      </c>
      <c r="O225" s="6">
        <f>SUM(N224:N225)</f>
        <v>5188865.41</v>
      </c>
      <c r="S225" s="7"/>
      <c r="T225" s="7"/>
      <c r="U225" s="7"/>
      <c r="V225" s="7"/>
      <c r="W225" s="7"/>
      <c r="X225" s="7"/>
      <c r="Y225" s="6"/>
    </row>
    <row r="226" spans="1:25" ht="12.75">
      <c r="A226" s="500" t="s">
        <v>152</v>
      </c>
      <c r="B226" s="438" t="s">
        <v>7</v>
      </c>
      <c r="C226" s="439">
        <v>539370.61</v>
      </c>
      <c r="D226" s="439">
        <v>0</v>
      </c>
      <c r="E226" s="439">
        <v>0</v>
      </c>
      <c r="F226" s="439">
        <v>117247.11</v>
      </c>
      <c r="G226" s="439">
        <v>27264.48</v>
      </c>
      <c r="H226" s="439">
        <v>0</v>
      </c>
      <c r="I226" s="441">
        <v>2556.08</v>
      </c>
      <c r="J226" s="441">
        <v>0</v>
      </c>
      <c r="K226" s="441">
        <v>0</v>
      </c>
      <c r="L226" s="441">
        <v>0</v>
      </c>
      <c r="M226" s="442">
        <v>0</v>
      </c>
      <c r="N226" s="443">
        <f t="shared" si="25"/>
        <v>686438.2799999999</v>
      </c>
      <c r="O226" s="6"/>
      <c r="S226" s="7"/>
      <c r="T226" s="7"/>
      <c r="U226" s="7"/>
      <c r="V226" s="7"/>
      <c r="W226" s="7"/>
      <c r="X226" s="7"/>
      <c r="Y226" s="6"/>
    </row>
    <row r="227" spans="1:25" ht="13.5" thickBot="1">
      <c r="A227" s="501"/>
      <c r="B227" s="444" t="s">
        <v>8</v>
      </c>
      <c r="C227" s="445">
        <v>2599028.97</v>
      </c>
      <c r="D227" s="445">
        <v>303674.81000000006</v>
      </c>
      <c r="E227" s="446">
        <v>344814.85000000003</v>
      </c>
      <c r="F227" s="445">
        <v>138782.3</v>
      </c>
      <c r="G227" s="445">
        <v>136479.38</v>
      </c>
      <c r="H227" s="445">
        <v>612908.69</v>
      </c>
      <c r="I227" s="447">
        <v>299339.65</v>
      </c>
      <c r="J227" s="447">
        <v>132350.74</v>
      </c>
      <c r="K227" s="447">
        <v>7518.77</v>
      </c>
      <c r="L227" s="447">
        <v>0</v>
      </c>
      <c r="M227" s="448">
        <v>0</v>
      </c>
      <c r="N227" s="443">
        <f t="shared" si="25"/>
        <v>4574898.16</v>
      </c>
      <c r="O227" s="6">
        <f>SUM(N226:N227)</f>
        <v>5261336.44</v>
      </c>
      <c r="S227" s="7"/>
      <c r="T227" s="7"/>
      <c r="U227" s="7"/>
      <c r="V227" s="7"/>
      <c r="W227" s="7"/>
      <c r="X227" s="7"/>
      <c r="Y227" s="6"/>
    </row>
    <row r="228" spans="1:25" ht="12.75">
      <c r="A228" s="508" t="s">
        <v>159</v>
      </c>
      <c r="B228" s="449" t="s">
        <v>7</v>
      </c>
      <c r="C228" s="450">
        <v>1086633.02</v>
      </c>
      <c r="D228" s="450">
        <v>0</v>
      </c>
      <c r="E228" s="450">
        <v>0</v>
      </c>
      <c r="F228" s="450">
        <v>92316.04999999999</v>
      </c>
      <c r="G228" s="450">
        <v>59031.53</v>
      </c>
      <c r="H228" s="450">
        <v>0</v>
      </c>
      <c r="I228" s="452">
        <v>3182.94</v>
      </c>
      <c r="J228" s="452">
        <v>0</v>
      </c>
      <c r="K228" s="452">
        <v>0</v>
      </c>
      <c r="L228" s="452">
        <v>0</v>
      </c>
      <c r="M228" s="453">
        <v>0</v>
      </c>
      <c r="N228" s="454">
        <f t="shared" si="25"/>
        <v>1241163.54</v>
      </c>
      <c r="O228" s="6"/>
      <c r="S228" s="7"/>
      <c r="T228" s="7"/>
      <c r="U228" s="7"/>
      <c r="V228" s="7"/>
      <c r="W228" s="7"/>
      <c r="X228" s="7"/>
      <c r="Y228" s="6"/>
    </row>
    <row r="229" spans="1:25" ht="13.5" thickBot="1">
      <c r="A229" s="509"/>
      <c r="B229" s="455" t="s">
        <v>8</v>
      </c>
      <c r="C229" s="456">
        <v>1992404.51</v>
      </c>
      <c r="D229" s="456">
        <v>284502.25</v>
      </c>
      <c r="E229" s="457">
        <v>376422.19</v>
      </c>
      <c r="F229" s="456">
        <v>305183.19</v>
      </c>
      <c r="G229" s="456">
        <v>160319.7</v>
      </c>
      <c r="H229" s="456">
        <v>605876.89</v>
      </c>
      <c r="I229" s="458">
        <v>403940.09</v>
      </c>
      <c r="J229" s="458">
        <v>91460.24</v>
      </c>
      <c r="K229" s="458">
        <v>3763.25</v>
      </c>
      <c r="L229" s="458">
        <v>0</v>
      </c>
      <c r="M229" s="459">
        <v>0</v>
      </c>
      <c r="N229" s="454">
        <f t="shared" si="25"/>
        <v>4223872.31</v>
      </c>
      <c r="O229" s="6">
        <f>SUM(N228:N229)</f>
        <v>5465035.85</v>
      </c>
      <c r="S229" s="7"/>
      <c r="T229" s="7"/>
      <c r="U229" s="7"/>
      <c r="V229" s="7"/>
      <c r="W229" s="7"/>
      <c r="X229" s="7"/>
      <c r="Y229" s="6"/>
    </row>
    <row r="230" spans="1:25" ht="12.75">
      <c r="A230" s="498" t="s">
        <v>174</v>
      </c>
      <c r="B230" s="462" t="s">
        <v>7</v>
      </c>
      <c r="C230" s="463">
        <v>1014846.2199999996</v>
      </c>
      <c r="D230" s="463">
        <v>0</v>
      </c>
      <c r="E230" s="463">
        <v>0</v>
      </c>
      <c r="F230" s="463">
        <v>68921.52</v>
      </c>
      <c r="G230" s="463">
        <v>67207.72</v>
      </c>
      <c r="H230" s="463">
        <v>0</v>
      </c>
      <c r="I230" s="465">
        <v>1103.56</v>
      </c>
      <c r="J230" s="465">
        <v>0</v>
      </c>
      <c r="K230" s="465">
        <v>0</v>
      </c>
      <c r="L230" s="465">
        <v>0</v>
      </c>
      <c r="M230" s="466">
        <v>0</v>
      </c>
      <c r="N230" s="467">
        <f aca="true" t="shared" si="26" ref="N230:N239">SUM(C230:M230)</f>
        <v>1152079.0199999996</v>
      </c>
      <c r="O230" s="6"/>
      <c r="S230" s="7"/>
      <c r="T230" s="7"/>
      <c r="U230" s="7"/>
      <c r="V230" s="7"/>
      <c r="W230" s="7"/>
      <c r="X230" s="7"/>
      <c r="Y230" s="6"/>
    </row>
    <row r="231" spans="1:25" ht="13.5" thickBot="1">
      <c r="A231" s="499"/>
      <c r="B231" s="468" t="s">
        <v>8</v>
      </c>
      <c r="C231" s="469">
        <v>2311410.549999993</v>
      </c>
      <c r="D231" s="469">
        <v>305746.13</v>
      </c>
      <c r="E231" s="470">
        <v>567617.35</v>
      </c>
      <c r="F231" s="469">
        <v>248176.82</v>
      </c>
      <c r="G231" s="469">
        <v>204412.06</v>
      </c>
      <c r="H231" s="469">
        <v>814271.66</v>
      </c>
      <c r="I231" s="471">
        <v>417710.08</v>
      </c>
      <c r="J231" s="471">
        <v>0</v>
      </c>
      <c r="K231" s="471">
        <v>7250.61</v>
      </c>
      <c r="L231" s="471">
        <v>0</v>
      </c>
      <c r="M231" s="472">
        <v>0</v>
      </c>
      <c r="N231" s="467">
        <f t="shared" si="26"/>
        <v>4876595.259999993</v>
      </c>
      <c r="O231" s="6">
        <f>SUM(N230:N231)</f>
        <v>6028674.279999993</v>
      </c>
      <c r="S231" s="7"/>
      <c r="T231" s="7"/>
      <c r="U231" s="7"/>
      <c r="V231" s="7"/>
      <c r="W231" s="7"/>
      <c r="X231" s="7"/>
      <c r="Y231" s="6"/>
    </row>
    <row r="232" spans="1:25" ht="12.75">
      <c r="A232" s="493" t="s">
        <v>192</v>
      </c>
      <c r="B232" s="473" t="s">
        <v>7</v>
      </c>
      <c r="C232" s="474">
        <v>1018.37</v>
      </c>
      <c r="D232" s="474">
        <v>0</v>
      </c>
      <c r="E232" s="474">
        <v>0</v>
      </c>
      <c r="F232" s="474">
        <v>0</v>
      </c>
      <c r="G232" s="474">
        <v>0</v>
      </c>
      <c r="H232" s="474">
        <v>0</v>
      </c>
      <c r="I232" s="475">
        <v>0</v>
      </c>
      <c r="J232" s="475">
        <v>0</v>
      </c>
      <c r="K232" s="475">
        <v>0</v>
      </c>
      <c r="L232" s="475">
        <v>0</v>
      </c>
      <c r="M232" s="476">
        <v>0</v>
      </c>
      <c r="N232" s="477">
        <f t="shared" si="26"/>
        <v>1018.37</v>
      </c>
      <c r="O232" s="6"/>
      <c r="S232" s="7"/>
      <c r="T232" s="7"/>
      <c r="U232" s="7"/>
      <c r="V232" s="7"/>
      <c r="W232" s="7"/>
      <c r="X232" s="7"/>
      <c r="Y232" s="6"/>
    </row>
    <row r="233" spans="1:25" ht="13.5" thickBot="1">
      <c r="A233" s="494"/>
      <c r="B233" s="478" t="s">
        <v>8</v>
      </c>
      <c r="C233" s="479">
        <v>330519.61</v>
      </c>
      <c r="D233" s="479">
        <v>64863.54</v>
      </c>
      <c r="E233" s="480">
        <v>76924.68000000001</v>
      </c>
      <c r="F233" s="479">
        <v>36695.01</v>
      </c>
      <c r="G233" s="479">
        <v>14339.19</v>
      </c>
      <c r="H233" s="479">
        <v>227323.77</v>
      </c>
      <c r="I233" s="481">
        <v>77627.91</v>
      </c>
      <c r="J233" s="481">
        <v>0</v>
      </c>
      <c r="K233" s="481">
        <v>298.12</v>
      </c>
      <c r="L233" s="481">
        <v>0</v>
      </c>
      <c r="M233" s="482">
        <v>0</v>
      </c>
      <c r="N233" s="477">
        <f t="shared" si="26"/>
        <v>828591.83</v>
      </c>
      <c r="O233" s="6">
        <f>SUM(N232:N233)</f>
        <v>829610.2</v>
      </c>
      <c r="S233" s="7"/>
      <c r="T233" s="7"/>
      <c r="U233" s="7"/>
      <c r="V233" s="7"/>
      <c r="W233" s="7"/>
      <c r="X233" s="7"/>
      <c r="Y233" s="6"/>
    </row>
    <row r="234" spans="1:25" ht="12.75">
      <c r="A234" s="538" t="s">
        <v>206</v>
      </c>
      <c r="B234" s="483" t="s">
        <v>7</v>
      </c>
      <c r="C234" s="484"/>
      <c r="D234" s="484">
        <v>0</v>
      </c>
      <c r="E234" s="484">
        <v>0</v>
      </c>
      <c r="F234" s="484">
        <v>0</v>
      </c>
      <c r="G234" s="484">
        <v>0</v>
      </c>
      <c r="H234" s="484">
        <v>0</v>
      </c>
      <c r="I234" s="485">
        <v>0</v>
      </c>
      <c r="J234" s="485">
        <v>0</v>
      </c>
      <c r="K234" s="485">
        <v>0</v>
      </c>
      <c r="L234" s="485">
        <v>0</v>
      </c>
      <c r="M234" s="486">
        <v>0</v>
      </c>
      <c r="N234" s="487">
        <f>SUM(C234:M234)</f>
        <v>0</v>
      </c>
      <c r="O234" s="6"/>
      <c r="S234" s="7"/>
      <c r="T234" s="7"/>
      <c r="U234" s="7"/>
      <c r="V234" s="7"/>
      <c r="W234" s="7"/>
      <c r="X234" s="7"/>
      <c r="Y234" s="6"/>
    </row>
    <row r="235" spans="1:25" ht="13.5" thickBot="1">
      <c r="A235" s="539"/>
      <c r="B235" s="488" t="s">
        <v>8</v>
      </c>
      <c r="C235" s="489"/>
      <c r="D235" s="489"/>
      <c r="E235" s="490"/>
      <c r="F235" s="489"/>
      <c r="G235" s="489"/>
      <c r="H235" s="489"/>
      <c r="I235" s="491"/>
      <c r="J235" s="491">
        <v>0</v>
      </c>
      <c r="K235" s="491"/>
      <c r="L235" s="491">
        <v>0</v>
      </c>
      <c r="M235" s="492">
        <v>0</v>
      </c>
      <c r="N235" s="487">
        <f>SUM(C235:M235)</f>
        <v>0</v>
      </c>
      <c r="O235" s="6">
        <f>SUM(N234:N235)</f>
        <v>0</v>
      </c>
      <c r="S235" s="7"/>
      <c r="T235" s="7"/>
      <c r="U235" s="7"/>
      <c r="V235" s="7"/>
      <c r="W235" s="7"/>
      <c r="X235" s="7"/>
      <c r="Y235" s="6"/>
    </row>
    <row r="236" spans="1:24" ht="12.75">
      <c r="A236" s="545">
        <v>36312</v>
      </c>
      <c r="B236" s="34" t="s">
        <v>7</v>
      </c>
      <c r="C236" s="87">
        <v>1179482.47</v>
      </c>
      <c r="D236" s="87">
        <v>77587.13</v>
      </c>
      <c r="E236" s="87">
        <v>40446.03</v>
      </c>
      <c r="F236" s="87">
        <v>4265226</v>
      </c>
      <c r="G236" s="87"/>
      <c r="H236" s="87"/>
      <c r="I236" s="107">
        <v>4680.1</v>
      </c>
      <c r="J236" s="107"/>
      <c r="K236" s="107"/>
      <c r="L236" s="107"/>
      <c r="M236" s="35">
        <v>87665.04</v>
      </c>
      <c r="N236" s="5">
        <f t="shared" si="26"/>
        <v>5655086.77</v>
      </c>
      <c r="S236" s="7"/>
      <c r="T236" s="7"/>
      <c r="U236" s="7"/>
      <c r="V236" s="7"/>
      <c r="W236" s="7"/>
      <c r="X236" s="7"/>
    </row>
    <row r="237" spans="1:24" ht="12.75">
      <c r="A237" s="545"/>
      <c r="B237" s="36" t="s">
        <v>8</v>
      </c>
      <c r="C237" s="88">
        <v>61825.84</v>
      </c>
      <c r="D237" s="88">
        <v>0</v>
      </c>
      <c r="E237" s="88">
        <v>380.8</v>
      </c>
      <c r="F237" s="88">
        <v>57516.32</v>
      </c>
      <c r="G237" s="88"/>
      <c r="H237" s="88"/>
      <c r="I237" s="108">
        <v>4313.85</v>
      </c>
      <c r="J237" s="108"/>
      <c r="K237" s="108"/>
      <c r="L237" s="108"/>
      <c r="M237" s="37">
        <v>0</v>
      </c>
      <c r="N237" s="5">
        <f t="shared" si="26"/>
        <v>124036.81</v>
      </c>
      <c r="O237" s="6">
        <f>SUM(N236:N237)</f>
        <v>5779123.579999999</v>
      </c>
      <c r="S237" s="7"/>
      <c r="T237" s="7"/>
      <c r="U237" s="7"/>
      <c r="V237" s="7"/>
      <c r="W237" s="7"/>
      <c r="X237" s="7"/>
    </row>
    <row r="238" spans="1:24" ht="12.75">
      <c r="A238" s="529">
        <v>36678</v>
      </c>
      <c r="B238" s="38" t="s">
        <v>7</v>
      </c>
      <c r="C238" s="89">
        <f>'[1]2000'!C18</f>
        <v>1440905.4</v>
      </c>
      <c r="D238" s="89">
        <f>'[1]2000'!D18</f>
        <v>83929.72</v>
      </c>
      <c r="E238" s="89">
        <f>'[1]2000'!E18</f>
        <v>27438.75</v>
      </c>
      <c r="F238" s="89">
        <f>'[1]2000'!F18</f>
        <v>4129573</v>
      </c>
      <c r="G238" s="89"/>
      <c r="H238" s="89"/>
      <c r="I238" s="109">
        <f>'[1]2000'!G18</f>
        <v>107344.94</v>
      </c>
      <c r="J238" s="109"/>
      <c r="K238" s="109"/>
      <c r="L238" s="109"/>
      <c r="M238" s="39">
        <f>'[1]2000'!H18</f>
        <v>77324.54</v>
      </c>
      <c r="N238" s="8">
        <f t="shared" si="26"/>
        <v>5866516.350000001</v>
      </c>
      <c r="S238" s="12"/>
      <c r="T238" s="12"/>
      <c r="U238" s="12"/>
      <c r="V238" s="12"/>
      <c r="W238" s="12"/>
      <c r="X238" s="12"/>
    </row>
    <row r="239" spans="1:15" ht="12.75">
      <c r="A239" s="530"/>
      <c r="B239" s="40" t="s">
        <v>8</v>
      </c>
      <c r="C239" s="82">
        <f>'[1]2000'!C19</f>
        <v>75837.13</v>
      </c>
      <c r="D239" s="82">
        <f>'[1]2000'!D19</f>
        <v>0</v>
      </c>
      <c r="E239" s="82">
        <f>'[1]2000'!E19</f>
        <v>4172.15</v>
      </c>
      <c r="F239" s="82">
        <f>'[1]2000'!F19</f>
        <v>124869.51</v>
      </c>
      <c r="G239" s="82"/>
      <c r="H239" s="82"/>
      <c r="I239" s="104">
        <f>'[1]2000'!G19</f>
        <v>11212.38</v>
      </c>
      <c r="J239" s="104"/>
      <c r="K239" s="104"/>
      <c r="L239" s="104"/>
      <c r="M239" s="41">
        <f>'[1]2000'!H19</f>
        <v>898.61</v>
      </c>
      <c r="N239" s="8">
        <f t="shared" si="26"/>
        <v>216989.77999999997</v>
      </c>
      <c r="O239" s="6">
        <f>SUM(N238:N239)</f>
        <v>6083506.130000001</v>
      </c>
    </row>
    <row r="240" spans="1:14" ht="12.75">
      <c r="A240" s="497">
        <f>A238+366</f>
        <v>37044</v>
      </c>
      <c r="B240" s="26" t="s">
        <v>7</v>
      </c>
      <c r="C240" s="83">
        <v>1502448.3</v>
      </c>
      <c r="D240" s="83">
        <v>49750.97</v>
      </c>
      <c r="E240" s="83">
        <v>8306.49</v>
      </c>
      <c r="F240" s="83">
        <v>3866141</v>
      </c>
      <c r="G240" s="83"/>
      <c r="H240" s="83"/>
      <c r="I240" s="105">
        <v>8817.89</v>
      </c>
      <c r="J240" s="105"/>
      <c r="K240" s="105"/>
      <c r="L240" s="105"/>
      <c r="M240" s="27">
        <v>56925</v>
      </c>
      <c r="N240" s="9">
        <f aca="true" t="shared" si="27" ref="N240:N247">SUM(C240:M240)</f>
        <v>5492389.649999999</v>
      </c>
    </row>
    <row r="241" spans="1:15" ht="12.75">
      <c r="A241" s="497"/>
      <c r="B241" s="28" t="s">
        <v>8</v>
      </c>
      <c r="C241" s="84">
        <v>79039.86</v>
      </c>
      <c r="D241" s="84">
        <v>0</v>
      </c>
      <c r="E241" s="84">
        <v>5026.15</v>
      </c>
      <c r="F241" s="84">
        <v>176216</v>
      </c>
      <c r="G241" s="84"/>
      <c r="H241" s="84"/>
      <c r="I241" s="20">
        <v>97687.42</v>
      </c>
      <c r="J241" s="20"/>
      <c r="K241" s="20"/>
      <c r="L241" s="20"/>
      <c r="M241" s="29">
        <v>10922.84</v>
      </c>
      <c r="N241" s="9">
        <f t="shared" si="27"/>
        <v>368892.27</v>
      </c>
      <c r="O241" s="6">
        <f>SUM(N240:N241)</f>
        <v>5861281.92</v>
      </c>
    </row>
    <row r="242" spans="1:15" ht="12.75">
      <c r="A242" s="534">
        <v>37408</v>
      </c>
      <c r="B242" s="30" t="s">
        <v>7</v>
      </c>
      <c r="C242" s="85">
        <v>929327.95</v>
      </c>
      <c r="D242" s="85">
        <v>55745.49</v>
      </c>
      <c r="E242" s="85">
        <v>0</v>
      </c>
      <c r="F242" s="85">
        <v>2861824</v>
      </c>
      <c r="G242" s="85"/>
      <c r="H242" s="85"/>
      <c r="I242" s="106">
        <v>189831</v>
      </c>
      <c r="J242" s="106"/>
      <c r="K242" s="106"/>
      <c r="L242" s="106"/>
      <c r="M242" s="31">
        <v>22917.17</v>
      </c>
      <c r="N242" s="19">
        <f t="shared" si="27"/>
        <v>4059645.61</v>
      </c>
      <c r="O242" s="6"/>
    </row>
    <row r="243" spans="1:15" ht="12.75">
      <c r="A243" s="534"/>
      <c r="B243" s="32" t="s">
        <v>8</v>
      </c>
      <c r="C243" s="86">
        <v>48912</v>
      </c>
      <c r="D243" s="86">
        <v>82135.43</v>
      </c>
      <c r="E243" s="86">
        <v>18992.68</v>
      </c>
      <c r="F243" s="86">
        <v>109573</v>
      </c>
      <c r="G243" s="86"/>
      <c r="H243" s="86">
        <v>2183.23</v>
      </c>
      <c r="I243" s="22">
        <v>113917.05</v>
      </c>
      <c r="J243" s="22"/>
      <c r="K243" s="22"/>
      <c r="L243" s="22"/>
      <c r="M243" s="33">
        <v>20976.71</v>
      </c>
      <c r="N243" s="19">
        <f t="shared" si="27"/>
        <v>396690.10000000003</v>
      </c>
      <c r="O243" s="6">
        <f>SUM(N242:N243)</f>
        <v>4456335.71</v>
      </c>
    </row>
    <row r="244" spans="1:15" ht="12.75">
      <c r="A244" s="519">
        <v>37773</v>
      </c>
      <c r="B244" s="115" t="s">
        <v>7</v>
      </c>
      <c r="C244" s="116">
        <v>1061494.91</v>
      </c>
      <c r="D244" s="116">
        <v>122827.99</v>
      </c>
      <c r="E244" s="116">
        <v>0</v>
      </c>
      <c r="F244" s="116">
        <f>195622.44+3018243.33</f>
        <v>3213865.77</v>
      </c>
      <c r="G244" s="116"/>
      <c r="H244" s="116">
        <v>0</v>
      </c>
      <c r="I244" s="117">
        <v>34090.51</v>
      </c>
      <c r="J244" s="117"/>
      <c r="K244" s="117"/>
      <c r="L244" s="117"/>
      <c r="M244" s="118">
        <v>37056.07</v>
      </c>
      <c r="N244" s="113">
        <f t="shared" si="27"/>
        <v>4469335.25</v>
      </c>
      <c r="O244" s="6"/>
    </row>
    <row r="245" spans="1:15" ht="13.5" thickBot="1">
      <c r="A245" s="520"/>
      <c r="B245" s="119" t="s">
        <v>8</v>
      </c>
      <c r="C245" s="120">
        <v>126857.17</v>
      </c>
      <c r="D245" s="120">
        <v>95875.79</v>
      </c>
      <c r="E245" s="120">
        <v>55384.7</v>
      </c>
      <c r="F245" s="120">
        <f>100465.64</f>
        <v>100465.64</v>
      </c>
      <c r="G245" s="120"/>
      <c r="H245" s="120">
        <v>2587.8</v>
      </c>
      <c r="I245" s="121">
        <v>134017.94</v>
      </c>
      <c r="J245" s="121"/>
      <c r="K245" s="121"/>
      <c r="L245" s="121"/>
      <c r="M245" s="67">
        <v>21031.15</v>
      </c>
      <c r="N245" s="113">
        <f t="shared" si="27"/>
        <v>536220.19</v>
      </c>
      <c r="O245" s="6">
        <f>SUM(N244:N245)</f>
        <v>5005555.4399999995</v>
      </c>
    </row>
    <row r="246" spans="1:15" ht="12.75">
      <c r="A246" s="523">
        <v>38139</v>
      </c>
      <c r="B246" s="214" t="s">
        <v>7</v>
      </c>
      <c r="C246" s="215">
        <v>1267887.18</v>
      </c>
      <c r="D246" s="215">
        <v>127827.04</v>
      </c>
      <c r="E246" s="215"/>
      <c r="F246" s="215">
        <f>150947.06+3071872.28</f>
        <v>3222819.34</v>
      </c>
      <c r="G246" s="215"/>
      <c r="H246" s="215"/>
      <c r="I246" s="216">
        <v>150926.16</v>
      </c>
      <c r="J246" s="216"/>
      <c r="K246" s="216"/>
      <c r="L246" s="216"/>
      <c r="M246" s="217">
        <v>60824.51</v>
      </c>
      <c r="N246" s="218">
        <f t="shared" si="27"/>
        <v>4830284.2299999995</v>
      </c>
      <c r="O246" s="6"/>
    </row>
    <row r="247" spans="1:15" ht="13.5" thickBot="1">
      <c r="A247" s="524"/>
      <c r="B247" s="223" t="s">
        <v>8</v>
      </c>
      <c r="C247" s="224">
        <v>283203.44</v>
      </c>
      <c r="D247" s="224">
        <v>161344.82</v>
      </c>
      <c r="E247" s="225">
        <v>100904.27</v>
      </c>
      <c r="F247" s="224">
        <f>210993.15</f>
        <v>210993.15</v>
      </c>
      <c r="G247" s="224"/>
      <c r="H247" s="224">
        <v>28690.38</v>
      </c>
      <c r="I247" s="226">
        <v>209425.35</v>
      </c>
      <c r="J247" s="226"/>
      <c r="K247" s="226"/>
      <c r="L247" s="226">
        <v>21425</v>
      </c>
      <c r="M247" s="227">
        <v>7593.29</v>
      </c>
      <c r="N247" s="218">
        <f t="shared" si="27"/>
        <v>1023579.7000000001</v>
      </c>
      <c r="O247" s="6">
        <f>SUM(N246:N247)</f>
        <v>5853863.93</v>
      </c>
    </row>
    <row r="248" spans="1:15" ht="12.75">
      <c r="A248" s="517">
        <v>38504</v>
      </c>
      <c r="B248" s="274" t="s">
        <v>7</v>
      </c>
      <c r="C248" s="275">
        <v>1310699.38</v>
      </c>
      <c r="D248" s="275">
        <v>152464.14</v>
      </c>
      <c r="E248" s="275"/>
      <c r="F248" s="275">
        <f>3137598.27+101397.62</f>
        <v>3238995.89</v>
      </c>
      <c r="G248" s="275">
        <v>94.9</v>
      </c>
      <c r="H248" s="275"/>
      <c r="I248" s="276">
        <v>206288.08</v>
      </c>
      <c r="J248" s="276"/>
      <c r="K248" s="276"/>
      <c r="L248" s="276"/>
      <c r="M248" s="277">
        <v>66663.3</v>
      </c>
      <c r="N248" s="273">
        <f aca="true" t="shared" si="28" ref="N248:N253">SUM(C248:M248)</f>
        <v>4975205.69</v>
      </c>
      <c r="O248" s="6"/>
    </row>
    <row r="249" spans="1:15" ht="13.5" thickBot="1">
      <c r="A249" s="518"/>
      <c r="B249" s="282" t="s">
        <v>8</v>
      </c>
      <c r="C249" s="283">
        <v>610695.71</v>
      </c>
      <c r="D249" s="283">
        <v>145978.73</v>
      </c>
      <c r="E249" s="284">
        <v>59800.6</v>
      </c>
      <c r="F249" s="283">
        <f>221190.92</f>
        <v>221190.92</v>
      </c>
      <c r="G249" s="283">
        <v>29984.76</v>
      </c>
      <c r="H249" s="283">
        <v>116398.73</v>
      </c>
      <c r="I249" s="285">
        <v>122933.01</v>
      </c>
      <c r="J249" s="285"/>
      <c r="K249" s="285"/>
      <c r="L249" s="285">
        <v>42649</v>
      </c>
      <c r="M249" s="286">
        <v>8148.01</v>
      </c>
      <c r="N249" s="273">
        <f t="shared" si="28"/>
        <v>1357779.47</v>
      </c>
      <c r="O249" s="6">
        <f>SUM(N248:N249)</f>
        <v>6332985.16</v>
      </c>
    </row>
    <row r="250" spans="1:15" ht="12.75">
      <c r="A250" s="527">
        <v>38869</v>
      </c>
      <c r="B250" s="289" t="s">
        <v>7</v>
      </c>
      <c r="C250" s="290">
        <v>1453917.06</v>
      </c>
      <c r="D250" s="290">
        <v>626.54</v>
      </c>
      <c r="E250" s="290"/>
      <c r="F250" s="290">
        <f>43283.3+2989050.31</f>
        <v>3032333.61</v>
      </c>
      <c r="G250" s="290">
        <v>1560.96</v>
      </c>
      <c r="H250" s="290"/>
      <c r="I250" s="291">
        <v>84817.6</v>
      </c>
      <c r="J250" s="291"/>
      <c r="K250" s="291"/>
      <c r="L250" s="291"/>
      <c r="M250" s="292">
        <v>49843.07</v>
      </c>
      <c r="N250" s="293">
        <f t="shared" si="28"/>
        <v>4623098.84</v>
      </c>
      <c r="O250" s="6"/>
    </row>
    <row r="251" spans="1:15" ht="13.5" thickBot="1">
      <c r="A251" s="528"/>
      <c r="B251" s="299" t="s">
        <v>8</v>
      </c>
      <c r="C251" s="300">
        <v>628340.8</v>
      </c>
      <c r="D251" s="300">
        <v>337705.36</v>
      </c>
      <c r="E251" s="301">
        <v>197142.12</v>
      </c>
      <c r="F251" s="300">
        <f>265452.11</f>
        <v>265452.11</v>
      </c>
      <c r="G251" s="300">
        <v>146920.89</v>
      </c>
      <c r="H251" s="300">
        <v>134052.51</v>
      </c>
      <c r="I251" s="302">
        <v>140094.74</v>
      </c>
      <c r="J251" s="302"/>
      <c r="K251" s="302"/>
      <c r="L251" s="302">
        <v>0</v>
      </c>
      <c r="M251" s="303">
        <v>10697.14</v>
      </c>
      <c r="N251" s="293">
        <f t="shared" si="28"/>
        <v>1860405.6700000002</v>
      </c>
      <c r="O251" s="6">
        <f>SUM(N250:N251)</f>
        <v>6483504.51</v>
      </c>
    </row>
    <row r="252" spans="1:15" ht="12.75">
      <c r="A252" s="502" t="s">
        <v>44</v>
      </c>
      <c r="B252" s="305" t="s">
        <v>7</v>
      </c>
      <c r="C252" s="306">
        <f>1415644.93</f>
        <v>1415644.93</v>
      </c>
      <c r="D252" s="306">
        <f>168083.34</f>
        <v>168083.34</v>
      </c>
      <c r="E252" s="306"/>
      <c r="F252" s="306">
        <f>15175.23+2972868.16</f>
        <v>2988043.39</v>
      </c>
      <c r="G252" s="306">
        <v>1087.74</v>
      </c>
      <c r="H252" s="306"/>
      <c r="I252" s="307">
        <v>84815.91</v>
      </c>
      <c r="J252" s="307"/>
      <c r="K252" s="307"/>
      <c r="L252" s="307">
        <v>0</v>
      </c>
      <c r="M252" s="308">
        <f>44476.94</f>
        <v>44476.94</v>
      </c>
      <c r="N252" s="304">
        <f t="shared" si="28"/>
        <v>4702152.250000001</v>
      </c>
      <c r="O252" s="6"/>
    </row>
    <row r="253" spans="1:15" ht="13.5" thickBot="1">
      <c r="A253" s="503"/>
      <c r="B253" s="313" t="s">
        <v>8</v>
      </c>
      <c r="C253" s="309">
        <f>887158.97-44357.95</f>
        <v>842801.02</v>
      </c>
      <c r="D253" s="309">
        <f>242251.96</f>
        <v>242251.96</v>
      </c>
      <c r="E253" s="310">
        <v>215317.38</v>
      </c>
      <c r="F253" s="309">
        <f>264676.86</f>
        <v>264676.86</v>
      </c>
      <c r="G253" s="309">
        <v>136176.05</v>
      </c>
      <c r="H253" s="309">
        <v>209997.4</v>
      </c>
      <c r="I253" s="311">
        <v>118588.86</v>
      </c>
      <c r="J253" s="311"/>
      <c r="K253" s="311"/>
      <c r="L253" s="311">
        <v>0</v>
      </c>
      <c r="M253" s="312">
        <v>1598.35</v>
      </c>
      <c r="N253" s="304">
        <f t="shared" si="28"/>
        <v>2031407.88</v>
      </c>
      <c r="O253" s="6">
        <f>SUM(N252:N253)</f>
        <v>6733560.130000001</v>
      </c>
    </row>
    <row r="254" spans="1:25" ht="12.75">
      <c r="A254" s="511" t="s">
        <v>58</v>
      </c>
      <c r="B254" s="318" t="s">
        <v>7</v>
      </c>
      <c r="C254" s="319">
        <v>905520.42</v>
      </c>
      <c r="D254" s="319">
        <v>796.97</v>
      </c>
      <c r="E254" s="319">
        <v>0</v>
      </c>
      <c r="F254" s="319">
        <f>3278053.68+9374.79</f>
        <v>3287428.47</v>
      </c>
      <c r="G254" s="319">
        <v>1331.66</v>
      </c>
      <c r="H254" s="319">
        <v>0</v>
      </c>
      <c r="I254" s="320">
        <v>95624.87</v>
      </c>
      <c r="J254" s="320"/>
      <c r="K254" s="320"/>
      <c r="L254" s="320"/>
      <c r="M254" s="321">
        <v>13050.68</v>
      </c>
      <c r="N254" s="322">
        <f>SUM(B254:M254)</f>
        <v>4303753.07</v>
      </c>
      <c r="O254" s="6"/>
      <c r="S254" s="7"/>
      <c r="T254" s="7"/>
      <c r="U254" s="7"/>
      <c r="V254" s="7"/>
      <c r="W254" s="7"/>
      <c r="X254" s="7"/>
      <c r="Y254" s="6"/>
    </row>
    <row r="255" spans="1:25" ht="13.5" thickBot="1">
      <c r="A255" s="512"/>
      <c r="B255" s="323" t="s">
        <v>8</v>
      </c>
      <c r="C255" s="324">
        <v>1594439.07</v>
      </c>
      <c r="D255" s="324">
        <v>382784.32</v>
      </c>
      <c r="E255" s="325">
        <v>350583.19</v>
      </c>
      <c r="F255" s="324">
        <f>173304.12</f>
        <v>173304.12</v>
      </c>
      <c r="G255" s="324">
        <v>150653.17</v>
      </c>
      <c r="H255" s="324">
        <v>221178.24</v>
      </c>
      <c r="I255" s="326">
        <v>130371.18</v>
      </c>
      <c r="J255" s="326"/>
      <c r="K255" s="326"/>
      <c r="L255" s="326"/>
      <c r="M255" s="327">
        <v>6508.33</v>
      </c>
      <c r="N255" s="322">
        <f>SUM(B255:M255)</f>
        <v>3009821.6200000006</v>
      </c>
      <c r="O255" s="6">
        <f>SUM(N254:N255)</f>
        <v>7313574.690000001</v>
      </c>
      <c r="S255" s="7"/>
      <c r="T255" s="7"/>
      <c r="U255" s="7"/>
      <c r="V255" s="7"/>
      <c r="W255" s="7"/>
      <c r="X255" s="7"/>
      <c r="Y255" s="6"/>
    </row>
    <row r="256" spans="1:25" ht="12.75">
      <c r="A256" s="532" t="s">
        <v>73</v>
      </c>
      <c r="B256" s="333" t="s">
        <v>7</v>
      </c>
      <c r="C256" s="334">
        <v>1232478.15</v>
      </c>
      <c r="D256" s="334">
        <v>81.27</v>
      </c>
      <c r="E256" s="334"/>
      <c r="F256" s="334">
        <f>24065.03+861885.66</f>
        <v>885950.6900000001</v>
      </c>
      <c r="G256" s="334">
        <v>86489.77</v>
      </c>
      <c r="H256" s="334">
        <v>0</v>
      </c>
      <c r="I256" s="335">
        <v>40701.83</v>
      </c>
      <c r="J256" s="335"/>
      <c r="K256" s="335">
        <v>0</v>
      </c>
      <c r="L256" s="335">
        <v>0</v>
      </c>
      <c r="M256" s="336">
        <v>0</v>
      </c>
      <c r="N256" s="337">
        <f aca="true" t="shared" si="29" ref="N256:N261">SUM(C256:M256)</f>
        <v>2245701.71</v>
      </c>
      <c r="O256" s="6"/>
      <c r="S256" s="7"/>
      <c r="T256" s="7"/>
      <c r="U256" s="7"/>
      <c r="V256" s="7"/>
      <c r="W256" s="7"/>
      <c r="X256" s="7"/>
      <c r="Y256" s="6"/>
    </row>
    <row r="257" spans="1:25" ht="13.5" thickBot="1">
      <c r="A257" s="533"/>
      <c r="B257" s="338" t="s">
        <v>8</v>
      </c>
      <c r="C257" s="339">
        <v>1359878.48</v>
      </c>
      <c r="D257" s="339">
        <v>233278.75</v>
      </c>
      <c r="E257" s="340">
        <v>393716.09</v>
      </c>
      <c r="F257" s="339">
        <v>186012.51</v>
      </c>
      <c r="G257" s="339">
        <v>115719.92</v>
      </c>
      <c r="H257" s="339">
        <v>204860.86</v>
      </c>
      <c r="I257" s="341">
        <v>146219.89</v>
      </c>
      <c r="J257" s="341"/>
      <c r="K257" s="341">
        <v>8750.22</v>
      </c>
      <c r="L257" s="341">
        <v>0</v>
      </c>
      <c r="M257" s="342">
        <v>0</v>
      </c>
      <c r="N257" s="337">
        <f t="shared" si="29"/>
        <v>2648436.72</v>
      </c>
      <c r="O257" s="6">
        <f>SUM(N256:N257)</f>
        <v>4894138.43</v>
      </c>
      <c r="S257" s="7"/>
      <c r="T257" s="7"/>
      <c r="U257" s="7"/>
      <c r="V257" s="7"/>
      <c r="W257" s="7"/>
      <c r="X257" s="7"/>
      <c r="Y257" s="6"/>
    </row>
    <row r="258" spans="1:25" ht="12.75">
      <c r="A258" s="506" t="s">
        <v>87</v>
      </c>
      <c r="B258" s="347" t="s">
        <v>7</v>
      </c>
      <c r="C258" s="348">
        <v>1278546.37</v>
      </c>
      <c r="D258" s="348">
        <v>71.39</v>
      </c>
      <c r="E258" s="348">
        <v>0</v>
      </c>
      <c r="F258" s="348">
        <f>16008.11+368287.62</f>
        <v>384295.73</v>
      </c>
      <c r="G258" s="348">
        <f>102531.55</f>
        <v>102531.55</v>
      </c>
      <c r="H258" s="348">
        <v>0</v>
      </c>
      <c r="I258" s="349">
        <v>38463.05</v>
      </c>
      <c r="J258" s="349"/>
      <c r="K258" s="349">
        <v>0</v>
      </c>
      <c r="L258" s="349">
        <v>0</v>
      </c>
      <c r="M258" s="350">
        <v>0</v>
      </c>
      <c r="N258" s="351">
        <f t="shared" si="29"/>
        <v>1803908.09</v>
      </c>
      <c r="O258" s="6"/>
      <c r="S258" s="7"/>
      <c r="T258" s="7"/>
      <c r="U258" s="7"/>
      <c r="V258" s="7"/>
      <c r="W258" s="7"/>
      <c r="X258" s="7"/>
      <c r="Y258" s="6"/>
    </row>
    <row r="259" spans="1:25" ht="13.5" thickBot="1">
      <c r="A259" s="507" t="s">
        <v>82</v>
      </c>
      <c r="B259" s="352" t="s">
        <v>8</v>
      </c>
      <c r="C259" s="353">
        <v>735932.11</v>
      </c>
      <c r="D259" s="353">
        <v>113589.63</v>
      </c>
      <c r="E259" s="354">
        <v>258999.85</v>
      </c>
      <c r="F259" s="353">
        <f>117132.27</f>
        <v>117132.27</v>
      </c>
      <c r="G259" s="353">
        <f>102713.15</f>
        <v>102713.15</v>
      </c>
      <c r="H259" s="353">
        <v>128603.66</v>
      </c>
      <c r="I259" s="355">
        <v>61168.28</v>
      </c>
      <c r="J259" s="355"/>
      <c r="K259" s="355">
        <v>0</v>
      </c>
      <c r="L259" s="355">
        <v>0</v>
      </c>
      <c r="M259" s="356">
        <v>0</v>
      </c>
      <c r="N259" s="351">
        <f t="shared" si="29"/>
        <v>1518138.95</v>
      </c>
      <c r="O259" s="6">
        <f>SUM(N258:N259)</f>
        <v>3322047.04</v>
      </c>
      <c r="S259" s="7"/>
      <c r="T259" s="7"/>
      <c r="U259" s="7"/>
      <c r="V259" s="7"/>
      <c r="W259" s="7"/>
      <c r="X259" s="7"/>
      <c r="Y259" s="6"/>
    </row>
    <row r="260" spans="1:25" ht="12.75">
      <c r="A260" s="513" t="s">
        <v>101</v>
      </c>
      <c r="B260" s="357" t="s">
        <v>7</v>
      </c>
      <c r="C260" s="358">
        <v>1509425.09</v>
      </c>
      <c r="D260" s="358">
        <v>-13.22</v>
      </c>
      <c r="E260" s="358">
        <v>0</v>
      </c>
      <c r="F260" s="358">
        <f>24548.92+435409.87</f>
        <v>459958.79</v>
      </c>
      <c r="G260" s="358">
        <f>80580.32</f>
        <v>80580.32</v>
      </c>
      <c r="H260" s="358">
        <v>0</v>
      </c>
      <c r="I260" s="359">
        <v>31301.5</v>
      </c>
      <c r="J260" s="359"/>
      <c r="K260" s="359">
        <v>0</v>
      </c>
      <c r="L260" s="359">
        <v>0</v>
      </c>
      <c r="M260" s="360">
        <v>0</v>
      </c>
      <c r="N260" s="361">
        <f t="shared" si="29"/>
        <v>2081252.4800000002</v>
      </c>
      <c r="O260" s="6"/>
      <c r="S260" s="7"/>
      <c r="T260" s="7"/>
      <c r="U260" s="7"/>
      <c r="V260" s="7"/>
      <c r="W260" s="7"/>
      <c r="X260" s="7"/>
      <c r="Y260" s="6"/>
    </row>
    <row r="261" spans="1:25" ht="13.5" thickBot="1">
      <c r="A261" s="514" t="s">
        <v>82</v>
      </c>
      <c r="B261" s="362" t="s">
        <v>8</v>
      </c>
      <c r="C261" s="363">
        <v>1179786.3</v>
      </c>
      <c r="D261" s="363">
        <v>162317.49</v>
      </c>
      <c r="E261" s="364">
        <v>235177.79</v>
      </c>
      <c r="F261" s="363">
        <f>131288.12</f>
        <v>131288.12</v>
      </c>
      <c r="G261" s="363">
        <f>94203.31</f>
        <v>94203.31</v>
      </c>
      <c r="H261" s="363">
        <v>209036.13</v>
      </c>
      <c r="I261" s="365">
        <v>157522.85</v>
      </c>
      <c r="J261" s="365"/>
      <c r="K261" s="365">
        <v>3021.9</v>
      </c>
      <c r="L261" s="365">
        <v>0</v>
      </c>
      <c r="M261" s="366">
        <v>0</v>
      </c>
      <c r="N261" s="361">
        <f t="shared" si="29"/>
        <v>2172353.89</v>
      </c>
      <c r="O261" s="6">
        <f>SUM(N260:N261)</f>
        <v>4253606.37</v>
      </c>
      <c r="S261" s="7"/>
      <c r="T261" s="7"/>
      <c r="U261" s="7"/>
      <c r="V261" s="7"/>
      <c r="W261" s="7"/>
      <c r="X261" s="7"/>
      <c r="Y261" s="6"/>
    </row>
    <row r="262" spans="1:25" ht="12.75">
      <c r="A262" s="525">
        <v>41061</v>
      </c>
      <c r="B262" s="367" t="s">
        <v>7</v>
      </c>
      <c r="C262" s="368">
        <v>1819066.78</v>
      </c>
      <c r="D262" s="368">
        <v>0</v>
      </c>
      <c r="E262" s="368">
        <v>0</v>
      </c>
      <c r="F262" s="368">
        <f>519426.29+49067.32</f>
        <v>568493.61</v>
      </c>
      <c r="G262" s="368">
        <v>22772.9</v>
      </c>
      <c r="H262" s="368">
        <v>0</v>
      </c>
      <c r="I262" s="369">
        <v>51074.35</v>
      </c>
      <c r="J262" s="369">
        <v>0</v>
      </c>
      <c r="K262" s="369">
        <v>0</v>
      </c>
      <c r="L262" s="369">
        <v>0</v>
      </c>
      <c r="M262" s="370">
        <v>0</v>
      </c>
      <c r="N262" s="371">
        <f aca="true" t="shared" si="30" ref="N262:N293">SUM(C262:M262)</f>
        <v>2461407.64</v>
      </c>
      <c r="O262" s="6"/>
      <c r="S262" s="7"/>
      <c r="T262" s="7"/>
      <c r="U262" s="7"/>
      <c r="V262" s="7"/>
      <c r="W262" s="7"/>
      <c r="X262" s="7"/>
      <c r="Y262" s="6"/>
    </row>
    <row r="263" spans="1:25" ht="13.5" thickBot="1">
      <c r="A263" s="526"/>
      <c r="B263" s="372" t="s">
        <v>8</v>
      </c>
      <c r="C263" s="373">
        <v>1354997.91</v>
      </c>
      <c r="D263" s="373">
        <v>180061.22</v>
      </c>
      <c r="E263" s="373">
        <v>272837.1</v>
      </c>
      <c r="F263" s="373">
        <f>153743.85</f>
        <v>153743.85</v>
      </c>
      <c r="G263" s="373">
        <v>119602.23</v>
      </c>
      <c r="H263" s="373">
        <v>279794.14</v>
      </c>
      <c r="I263" s="374">
        <v>173760.97</v>
      </c>
      <c r="J263" s="374">
        <v>21116.76</v>
      </c>
      <c r="K263" s="374">
        <v>6461.05</v>
      </c>
      <c r="L263" s="374">
        <v>0</v>
      </c>
      <c r="M263" s="375">
        <v>0</v>
      </c>
      <c r="N263" s="371">
        <f t="shared" si="30"/>
        <v>2562375.23</v>
      </c>
      <c r="O263" s="6">
        <f>SUM(N262:N263)</f>
        <v>5023782.87</v>
      </c>
      <c r="S263" s="7"/>
      <c r="T263" s="7"/>
      <c r="U263" s="7"/>
      <c r="V263" s="7"/>
      <c r="W263" s="7"/>
      <c r="X263" s="7"/>
      <c r="Y263" s="6"/>
    </row>
    <row r="264" spans="1:25" ht="12.75">
      <c r="A264" s="521">
        <v>41426</v>
      </c>
      <c r="B264" s="390" t="s">
        <v>7</v>
      </c>
      <c r="C264" s="391">
        <v>2236903.92</v>
      </c>
      <c r="D264" s="391">
        <v>0</v>
      </c>
      <c r="E264" s="391">
        <v>0</v>
      </c>
      <c r="F264" s="391">
        <f>50835.84+223471.69</f>
        <v>274307.53</v>
      </c>
      <c r="G264" s="391">
        <f>105325.69</f>
        <v>105325.69</v>
      </c>
      <c r="H264" s="391">
        <v>0</v>
      </c>
      <c r="I264" s="392">
        <v>29883.18</v>
      </c>
      <c r="J264" s="392">
        <v>0</v>
      </c>
      <c r="K264" s="392">
        <v>0</v>
      </c>
      <c r="L264" s="392">
        <v>0</v>
      </c>
      <c r="M264" s="393">
        <v>0</v>
      </c>
      <c r="N264" s="394">
        <f t="shared" si="30"/>
        <v>2646420.3200000003</v>
      </c>
      <c r="O264" s="6"/>
      <c r="S264" s="7"/>
      <c r="T264" s="7"/>
      <c r="U264" s="7"/>
      <c r="V264" s="7"/>
      <c r="W264" s="7"/>
      <c r="X264" s="7"/>
      <c r="Y264" s="6"/>
    </row>
    <row r="265" spans="1:25" ht="13.5" thickBot="1">
      <c r="A265" s="531"/>
      <c r="B265" s="395" t="s">
        <v>8</v>
      </c>
      <c r="C265" s="396">
        <v>1535079.42</v>
      </c>
      <c r="D265" s="396">
        <v>193489.97</v>
      </c>
      <c r="E265" s="396">
        <v>347260.1</v>
      </c>
      <c r="F265" s="396">
        <f>276205.48</f>
        <v>276205.48</v>
      </c>
      <c r="G265" s="396">
        <f>160537.71</f>
        <v>160537.71</v>
      </c>
      <c r="H265" s="396">
        <v>313325.61</v>
      </c>
      <c r="I265" s="397">
        <v>227052.77</v>
      </c>
      <c r="J265" s="397">
        <v>98405.29</v>
      </c>
      <c r="K265" s="397">
        <v>8804.54</v>
      </c>
      <c r="L265" s="397">
        <v>0</v>
      </c>
      <c r="M265" s="398">
        <v>0</v>
      </c>
      <c r="N265" s="394">
        <f t="shared" si="30"/>
        <v>3160160.8899999997</v>
      </c>
      <c r="O265" s="6">
        <f>SUM(N264:N265)</f>
        <v>5806581.21</v>
      </c>
      <c r="S265" s="7"/>
      <c r="T265" s="7"/>
      <c r="U265" s="7"/>
      <c r="V265" s="7"/>
      <c r="W265" s="7"/>
      <c r="X265" s="7"/>
      <c r="Y265" s="6"/>
    </row>
    <row r="266" spans="1:25" ht="12.75">
      <c r="A266" s="515">
        <v>41791</v>
      </c>
      <c r="B266" s="403" t="s">
        <v>7</v>
      </c>
      <c r="C266" s="404">
        <f>1458444.6+16149.44</f>
        <v>1474594.04</v>
      </c>
      <c r="D266" s="404">
        <v>0</v>
      </c>
      <c r="E266" s="404">
        <v>0</v>
      </c>
      <c r="F266" s="404">
        <f>37076.78+171848.27</f>
        <v>208925.05</v>
      </c>
      <c r="G266" s="404">
        <v>36748.46</v>
      </c>
      <c r="H266" s="404">
        <v>0</v>
      </c>
      <c r="I266" s="405">
        <v>28619.9</v>
      </c>
      <c r="J266" s="405">
        <v>0</v>
      </c>
      <c r="K266" s="405">
        <v>0</v>
      </c>
      <c r="L266" s="405">
        <v>0</v>
      </c>
      <c r="M266" s="406">
        <v>0</v>
      </c>
      <c r="N266" s="407">
        <f aca="true" t="shared" si="31" ref="N266:N273">SUM(C266:M266)</f>
        <v>1748887.45</v>
      </c>
      <c r="S266" s="7"/>
      <c r="T266" s="7"/>
      <c r="U266" s="7"/>
      <c r="V266" s="7"/>
      <c r="W266" s="7"/>
      <c r="X266" s="7"/>
      <c r="Y266" s="6"/>
    </row>
    <row r="267" spans="1:25" ht="13.5" thickBot="1">
      <c r="A267" s="516"/>
      <c r="B267" s="408" t="s">
        <v>8</v>
      </c>
      <c r="C267" s="409">
        <f>1655620.86+162216.88</f>
        <v>1817837.7400000002</v>
      </c>
      <c r="D267" s="409">
        <v>187121.08</v>
      </c>
      <c r="E267" s="409">
        <v>308420.99</v>
      </c>
      <c r="F267" s="409">
        <f>268747.8+12040.87</f>
        <v>280788.67</v>
      </c>
      <c r="G267" s="409">
        <v>158887.71</v>
      </c>
      <c r="H267" s="409">
        <v>315217.97</v>
      </c>
      <c r="I267" s="410">
        <v>241743.71</v>
      </c>
      <c r="J267" s="410">
        <v>107737.22</v>
      </c>
      <c r="K267" s="410">
        <v>3614.18</v>
      </c>
      <c r="L267" s="410">
        <v>0</v>
      </c>
      <c r="M267" s="411">
        <v>0</v>
      </c>
      <c r="N267" s="407">
        <f t="shared" si="31"/>
        <v>3421369.2700000005</v>
      </c>
      <c r="O267" s="6">
        <f>SUM(N266:N267)</f>
        <v>5170256.720000001</v>
      </c>
      <c r="S267" s="7"/>
      <c r="T267" s="7"/>
      <c r="U267" s="7"/>
      <c r="V267" s="7"/>
      <c r="W267" s="7"/>
      <c r="X267" s="7"/>
      <c r="Y267" s="6"/>
    </row>
    <row r="268" spans="1:25" ht="12.75">
      <c r="A268" s="495" t="s">
        <v>120</v>
      </c>
      <c r="B268" s="416" t="s">
        <v>7</v>
      </c>
      <c r="C268" s="417">
        <f>1337290.66+9174.75</f>
        <v>1346465.41</v>
      </c>
      <c r="D268" s="417">
        <v>0</v>
      </c>
      <c r="E268" s="417">
        <v>0</v>
      </c>
      <c r="F268" s="417">
        <f>58740.25+146266.02</f>
        <v>205006.27</v>
      </c>
      <c r="G268" s="417">
        <f>68407.42</f>
        <v>68407.42</v>
      </c>
      <c r="H268" s="417">
        <v>0</v>
      </c>
      <c r="I268" s="418">
        <v>30368.01</v>
      </c>
      <c r="J268" s="418">
        <v>0</v>
      </c>
      <c r="K268" s="418">
        <v>0</v>
      </c>
      <c r="L268" s="418">
        <v>0</v>
      </c>
      <c r="M268" s="419">
        <v>0</v>
      </c>
      <c r="N268" s="420">
        <f t="shared" si="31"/>
        <v>1650247.1099999999</v>
      </c>
      <c r="O268" s="6"/>
      <c r="S268" s="7"/>
      <c r="T268" s="7"/>
      <c r="U268" s="7"/>
      <c r="V268" s="7"/>
      <c r="W268" s="7"/>
      <c r="X268" s="7"/>
      <c r="Y268" s="6"/>
    </row>
    <row r="269" spans="1:25" ht="13.5" thickBot="1">
      <c r="A269" s="496"/>
      <c r="B269" s="421" t="s">
        <v>8</v>
      </c>
      <c r="C269" s="422">
        <f>1779475.53+190442.83</f>
        <v>1969918.36</v>
      </c>
      <c r="D269" s="422">
        <v>227669.13</v>
      </c>
      <c r="E269" s="423">
        <v>306458.44</v>
      </c>
      <c r="F269" s="422">
        <f>208303.31+1435.47</f>
        <v>209738.78</v>
      </c>
      <c r="G269" s="422">
        <f>218579</f>
        <v>218579</v>
      </c>
      <c r="H269" s="422">
        <v>550840.16</v>
      </c>
      <c r="I269" s="424">
        <v>233777.57</v>
      </c>
      <c r="J269" s="424">
        <v>110435.61</v>
      </c>
      <c r="K269" s="424">
        <v>7253.7</v>
      </c>
      <c r="L269" s="424">
        <v>0</v>
      </c>
      <c r="M269" s="425">
        <v>0</v>
      </c>
      <c r="N269" s="420">
        <f t="shared" si="31"/>
        <v>3834670.75</v>
      </c>
      <c r="O269" s="6">
        <f>SUM(N268:N269)</f>
        <v>5484917.859999999</v>
      </c>
      <c r="S269" s="7"/>
      <c r="T269" s="7"/>
      <c r="U269" s="7"/>
      <c r="V269" s="7"/>
      <c r="W269" s="7"/>
      <c r="X269" s="7"/>
      <c r="Y269" s="6"/>
    </row>
    <row r="270" spans="1:25" ht="12.75">
      <c r="A270" s="511" t="s">
        <v>133</v>
      </c>
      <c r="B270" s="427" t="s">
        <v>7</v>
      </c>
      <c r="C270" s="428">
        <v>1286365.08</v>
      </c>
      <c r="D270" s="428">
        <v>0</v>
      </c>
      <c r="E270" s="428">
        <v>0</v>
      </c>
      <c r="F270" s="428">
        <f>146704.884+22882.79</f>
        <v>169587.674</v>
      </c>
      <c r="G270" s="428">
        <v>36897.31</v>
      </c>
      <c r="H270" s="428">
        <v>0</v>
      </c>
      <c r="I270" s="429">
        <v>18663.72</v>
      </c>
      <c r="J270" s="429">
        <v>0</v>
      </c>
      <c r="K270" s="429">
        <v>0</v>
      </c>
      <c r="L270" s="429">
        <v>0</v>
      </c>
      <c r="M270" s="430">
        <v>0</v>
      </c>
      <c r="N270" s="431">
        <f t="shared" si="31"/>
        <v>1511513.7840000002</v>
      </c>
      <c r="O270" s="6"/>
      <c r="S270" s="7"/>
      <c r="T270" s="7"/>
      <c r="U270" s="7"/>
      <c r="V270" s="7"/>
      <c r="W270" s="7"/>
      <c r="X270" s="7"/>
      <c r="Y270" s="6"/>
    </row>
    <row r="271" spans="1:25" ht="13.5" thickBot="1">
      <c r="A271" s="512"/>
      <c r="B271" s="432" t="s">
        <v>8</v>
      </c>
      <c r="C271" s="433">
        <v>2263459.42</v>
      </c>
      <c r="D271" s="433">
        <v>226023.68</v>
      </c>
      <c r="E271" s="434">
        <v>331537.14</v>
      </c>
      <c r="F271" s="433">
        <f>277816.17</f>
        <v>277816.17</v>
      </c>
      <c r="G271" s="433">
        <v>210491.61</v>
      </c>
      <c r="H271" s="433">
        <v>706542.81</v>
      </c>
      <c r="I271" s="435">
        <v>295958.13</v>
      </c>
      <c r="J271" s="435">
        <v>155734.79</v>
      </c>
      <c r="K271" s="435">
        <v>10228.98</v>
      </c>
      <c r="L271" s="435">
        <v>0</v>
      </c>
      <c r="M271" s="436">
        <v>0</v>
      </c>
      <c r="N271" s="431">
        <f t="shared" si="31"/>
        <v>4477792.73</v>
      </c>
      <c r="O271" s="6">
        <f>SUM(N270:N271)</f>
        <v>5989306.514</v>
      </c>
      <c r="S271" s="7"/>
      <c r="T271" s="7"/>
      <c r="U271" s="7"/>
      <c r="V271" s="7"/>
      <c r="W271" s="7"/>
      <c r="X271" s="7"/>
      <c r="Y271" s="6"/>
    </row>
    <row r="272" spans="1:25" ht="12.75">
      <c r="A272" s="500" t="s">
        <v>151</v>
      </c>
      <c r="B272" s="438" t="s">
        <v>7</v>
      </c>
      <c r="C272" s="439">
        <v>1016560.6199999967</v>
      </c>
      <c r="D272" s="439">
        <v>0</v>
      </c>
      <c r="E272" s="440">
        <v>0</v>
      </c>
      <c r="F272" s="439">
        <v>230733.3</v>
      </c>
      <c r="G272" s="439">
        <v>4119.79</v>
      </c>
      <c r="H272" s="439">
        <v>0</v>
      </c>
      <c r="I272" s="441">
        <v>2196.49</v>
      </c>
      <c r="J272" s="441">
        <v>0</v>
      </c>
      <c r="K272" s="441">
        <v>0</v>
      </c>
      <c r="L272" s="441">
        <v>0</v>
      </c>
      <c r="M272" s="442">
        <v>0</v>
      </c>
      <c r="N272" s="443">
        <f t="shared" si="31"/>
        <v>1253610.1999999967</v>
      </c>
      <c r="O272" s="6"/>
      <c r="S272" s="7"/>
      <c r="T272" s="7"/>
      <c r="U272" s="7"/>
      <c r="V272" s="7"/>
      <c r="W272" s="7"/>
      <c r="X272" s="7"/>
      <c r="Y272" s="6"/>
    </row>
    <row r="273" spans="1:25" ht="13.5" thickBot="1">
      <c r="A273" s="501"/>
      <c r="B273" s="444" t="s">
        <v>8</v>
      </c>
      <c r="C273" s="445">
        <v>2549140.439999994</v>
      </c>
      <c r="D273" s="445">
        <v>312955.2899999999</v>
      </c>
      <c r="E273" s="446">
        <v>448901.2</v>
      </c>
      <c r="F273" s="445">
        <v>154090.31</v>
      </c>
      <c r="G273" s="445">
        <v>152640.96</v>
      </c>
      <c r="H273" s="445">
        <v>722464.27</v>
      </c>
      <c r="I273" s="447">
        <v>355246.79</v>
      </c>
      <c r="J273" s="447">
        <v>114649.06</v>
      </c>
      <c r="K273" s="447">
        <v>2615.95</v>
      </c>
      <c r="L273" s="447">
        <v>0</v>
      </c>
      <c r="M273" s="448">
        <v>0</v>
      </c>
      <c r="N273" s="443">
        <f t="shared" si="31"/>
        <v>4812704.269999994</v>
      </c>
      <c r="O273" s="6">
        <f>SUM(N272:N273)</f>
        <v>6066314.46999999</v>
      </c>
      <c r="S273" s="7"/>
      <c r="T273" s="7"/>
      <c r="U273" s="7"/>
      <c r="V273" s="7"/>
      <c r="W273" s="7"/>
      <c r="X273" s="7"/>
      <c r="Y273" s="6"/>
    </row>
    <row r="274" spans="1:25" ht="12.75">
      <c r="A274" s="508" t="s">
        <v>160</v>
      </c>
      <c r="B274" s="449" t="s">
        <v>7</v>
      </c>
      <c r="C274" s="450">
        <v>1159833.78</v>
      </c>
      <c r="D274" s="450"/>
      <c r="E274" s="451"/>
      <c r="F274" s="450">
        <v>61679.72</v>
      </c>
      <c r="G274" s="450">
        <v>72721.03</v>
      </c>
      <c r="H274" s="450"/>
      <c r="I274" s="452">
        <v>448461.9</v>
      </c>
      <c r="J274" s="452"/>
      <c r="K274" s="452"/>
      <c r="L274" s="452"/>
      <c r="M274" s="453"/>
      <c r="N274" s="454">
        <f aca="true" t="shared" si="32" ref="N274:N279">SUM(C274:M274)</f>
        <v>1742696.4300000002</v>
      </c>
      <c r="O274" s="6"/>
      <c r="S274" s="7"/>
      <c r="T274" s="7"/>
      <c r="U274" s="7"/>
      <c r="V274" s="7"/>
      <c r="W274" s="7"/>
      <c r="X274" s="7"/>
      <c r="Y274" s="6"/>
    </row>
    <row r="275" spans="1:25" ht="13.5" thickBot="1">
      <c r="A275" s="509"/>
      <c r="B275" s="455" t="s">
        <v>8</v>
      </c>
      <c r="C275" s="456">
        <v>2421185.5</v>
      </c>
      <c r="D275" s="456">
        <v>320591.83</v>
      </c>
      <c r="E275" s="457">
        <v>456839.64</v>
      </c>
      <c r="F275" s="456">
        <v>263140.55</v>
      </c>
      <c r="G275" s="456">
        <v>193974.83</v>
      </c>
      <c r="H275" s="456">
        <v>688069.2</v>
      </c>
      <c r="I275" s="458">
        <v>2720.4</v>
      </c>
      <c r="J275" s="458">
        <v>94254.15</v>
      </c>
      <c r="K275" s="458">
        <v>5577.39</v>
      </c>
      <c r="L275" s="458"/>
      <c r="M275" s="459"/>
      <c r="N275" s="454">
        <f t="shared" si="32"/>
        <v>4446353.49</v>
      </c>
      <c r="O275" s="6">
        <f>SUM(N274:N275)</f>
        <v>6189049.92</v>
      </c>
      <c r="S275" s="7"/>
      <c r="T275" s="7"/>
      <c r="U275" s="7"/>
      <c r="V275" s="7"/>
      <c r="W275" s="7"/>
      <c r="X275" s="7"/>
      <c r="Y275" s="6"/>
    </row>
    <row r="276" spans="1:25" ht="12.75">
      <c r="A276" s="498" t="s">
        <v>175</v>
      </c>
      <c r="B276" s="462" t="s">
        <v>7</v>
      </c>
      <c r="C276" s="463">
        <v>963146.9699999992</v>
      </c>
      <c r="D276" s="463">
        <v>0</v>
      </c>
      <c r="E276" s="464">
        <v>0</v>
      </c>
      <c r="F276" s="463">
        <v>51700.59</v>
      </c>
      <c r="G276" s="463">
        <v>41069.25</v>
      </c>
      <c r="H276" s="463">
        <v>0</v>
      </c>
      <c r="I276" s="465">
        <v>256.76</v>
      </c>
      <c r="J276" s="465">
        <v>0</v>
      </c>
      <c r="K276" s="465">
        <v>0</v>
      </c>
      <c r="L276" s="465">
        <v>0</v>
      </c>
      <c r="M276" s="466">
        <v>0</v>
      </c>
      <c r="N276" s="467">
        <f t="shared" si="32"/>
        <v>1056173.5699999991</v>
      </c>
      <c r="O276" s="6"/>
      <c r="S276" s="7"/>
      <c r="T276" s="7"/>
      <c r="U276" s="7"/>
      <c r="V276" s="7"/>
      <c r="W276" s="7"/>
      <c r="X276" s="7"/>
      <c r="Y276" s="6"/>
    </row>
    <row r="277" spans="1:25" ht="13.5" thickBot="1">
      <c r="A277" s="499"/>
      <c r="B277" s="468" t="s">
        <v>8</v>
      </c>
      <c r="C277" s="469">
        <v>2710996.849999989</v>
      </c>
      <c r="D277" s="469">
        <v>347786.07</v>
      </c>
      <c r="E277" s="470">
        <v>579977.74</v>
      </c>
      <c r="F277" s="469">
        <v>258910.18</v>
      </c>
      <c r="G277" s="469">
        <v>194728.02</v>
      </c>
      <c r="H277" s="469">
        <v>1076034.52</v>
      </c>
      <c r="I277" s="471">
        <v>518397.26</v>
      </c>
      <c r="J277" s="471">
        <v>0</v>
      </c>
      <c r="K277" s="471">
        <v>4353.88</v>
      </c>
      <c r="L277" s="471">
        <v>0</v>
      </c>
      <c r="M277" s="472">
        <v>0</v>
      </c>
      <c r="N277" s="467">
        <f t="shared" si="32"/>
        <v>5691184.519999989</v>
      </c>
      <c r="O277" s="6">
        <f>SUM(N276:N277)</f>
        <v>6747358.089999989</v>
      </c>
      <c r="S277" s="7"/>
      <c r="T277" s="7"/>
      <c r="U277" s="7"/>
      <c r="V277" s="7"/>
      <c r="W277" s="7"/>
      <c r="X277" s="7"/>
      <c r="Y277" s="6"/>
    </row>
    <row r="278" spans="1:25" ht="12.75">
      <c r="A278" s="493" t="s">
        <v>191</v>
      </c>
      <c r="B278" s="473" t="s">
        <v>7</v>
      </c>
      <c r="C278" s="474">
        <v>2999.3600000000006</v>
      </c>
      <c r="D278" s="474">
        <v>0</v>
      </c>
      <c r="E278" s="474">
        <v>0</v>
      </c>
      <c r="F278" s="474">
        <v>190.67</v>
      </c>
      <c r="G278" s="474">
        <v>0</v>
      </c>
      <c r="H278" s="474">
        <v>0</v>
      </c>
      <c r="I278" s="475">
        <v>172836.99</v>
      </c>
      <c r="J278" s="475">
        <v>0</v>
      </c>
      <c r="K278" s="475">
        <v>0</v>
      </c>
      <c r="L278" s="475">
        <v>0</v>
      </c>
      <c r="M278" s="476">
        <v>0</v>
      </c>
      <c r="N278" s="477">
        <f t="shared" si="32"/>
        <v>176027.02</v>
      </c>
      <c r="O278" s="6"/>
      <c r="S278" s="7"/>
      <c r="T278" s="7"/>
      <c r="U278" s="7"/>
      <c r="V278" s="7"/>
      <c r="W278" s="7"/>
      <c r="X278" s="7"/>
      <c r="Y278" s="6"/>
    </row>
    <row r="279" spans="1:25" ht="13.5" thickBot="1">
      <c r="A279" s="494"/>
      <c r="B279" s="478" t="s">
        <v>8</v>
      </c>
      <c r="C279" s="479">
        <v>1094336.2100000007</v>
      </c>
      <c r="D279" s="479">
        <v>130015.79999999999</v>
      </c>
      <c r="E279" s="480">
        <v>164687.88</v>
      </c>
      <c r="F279" s="479">
        <v>45227.5</v>
      </c>
      <c r="G279" s="479">
        <v>44020.48</v>
      </c>
      <c r="H279" s="479">
        <v>543935.39</v>
      </c>
      <c r="I279" s="481">
        <v>88.88</v>
      </c>
      <c r="J279" s="481">
        <v>0</v>
      </c>
      <c r="K279" s="481">
        <v>3078.03</v>
      </c>
      <c r="L279" s="481">
        <v>0</v>
      </c>
      <c r="M279" s="482">
        <v>0</v>
      </c>
      <c r="N279" s="477">
        <f t="shared" si="32"/>
        <v>2025390.1700000006</v>
      </c>
      <c r="O279" s="6">
        <f>SUM(N278:N279)</f>
        <v>2201417.1900000004</v>
      </c>
      <c r="S279" s="7"/>
      <c r="T279" s="7"/>
      <c r="U279" s="7"/>
      <c r="V279" s="7"/>
      <c r="W279" s="7"/>
      <c r="X279" s="7"/>
      <c r="Y279" s="6"/>
    </row>
    <row r="280" spans="1:25" ht="12.75">
      <c r="A280" s="538" t="s">
        <v>205</v>
      </c>
      <c r="B280" s="483" t="s">
        <v>7</v>
      </c>
      <c r="C280" s="484"/>
      <c r="D280" s="484">
        <v>0</v>
      </c>
      <c r="E280" s="484">
        <v>0</v>
      </c>
      <c r="F280" s="484"/>
      <c r="G280" s="484">
        <v>0</v>
      </c>
      <c r="H280" s="484">
        <v>0</v>
      </c>
      <c r="I280" s="485"/>
      <c r="J280" s="485">
        <v>0</v>
      </c>
      <c r="K280" s="485">
        <v>0</v>
      </c>
      <c r="L280" s="485">
        <v>0</v>
      </c>
      <c r="M280" s="486">
        <v>0</v>
      </c>
      <c r="N280" s="487">
        <f>SUM(C280:M280)</f>
        <v>0</v>
      </c>
      <c r="O280" s="6"/>
      <c r="S280" s="7"/>
      <c r="T280" s="7"/>
      <c r="U280" s="7"/>
      <c r="V280" s="7"/>
      <c r="W280" s="7"/>
      <c r="X280" s="7"/>
      <c r="Y280" s="6"/>
    </row>
    <row r="281" spans="1:25" ht="13.5" thickBot="1">
      <c r="A281" s="539"/>
      <c r="B281" s="488" t="s">
        <v>8</v>
      </c>
      <c r="C281" s="489"/>
      <c r="D281" s="489"/>
      <c r="E281" s="490"/>
      <c r="F281" s="489"/>
      <c r="G281" s="489"/>
      <c r="H281" s="489"/>
      <c r="I281" s="491"/>
      <c r="J281" s="491">
        <v>0</v>
      </c>
      <c r="K281" s="491"/>
      <c r="L281" s="491">
        <v>0</v>
      </c>
      <c r="M281" s="492">
        <v>0</v>
      </c>
      <c r="N281" s="487">
        <f>SUM(C281:M281)</f>
        <v>0</v>
      </c>
      <c r="O281" s="6">
        <f>SUM(N280:N281)</f>
        <v>0</v>
      </c>
      <c r="S281" s="7"/>
      <c r="T281" s="7"/>
      <c r="U281" s="7"/>
      <c r="V281" s="7"/>
      <c r="W281" s="7"/>
      <c r="X281" s="7"/>
      <c r="Y281" s="6"/>
    </row>
    <row r="282" spans="1:14" ht="12.75">
      <c r="A282" s="504">
        <v>36342</v>
      </c>
      <c r="B282" s="34" t="s">
        <v>7</v>
      </c>
      <c r="C282" s="87">
        <v>1478322</v>
      </c>
      <c r="D282" s="87">
        <v>90153.36</v>
      </c>
      <c r="E282" s="87">
        <v>33433</v>
      </c>
      <c r="F282" s="87">
        <v>4191243</v>
      </c>
      <c r="G282" s="87"/>
      <c r="H282" s="87"/>
      <c r="I282" s="107">
        <v>694</v>
      </c>
      <c r="J282" s="107"/>
      <c r="K282" s="107"/>
      <c r="L282" s="107"/>
      <c r="M282" s="35">
        <v>113387</v>
      </c>
      <c r="N282" s="5">
        <f t="shared" si="30"/>
        <v>5907232.36</v>
      </c>
    </row>
    <row r="283" spans="1:15" ht="12.75">
      <c r="A283" s="505"/>
      <c r="B283" s="36" t="s">
        <v>8</v>
      </c>
      <c r="C283" s="88">
        <v>77806</v>
      </c>
      <c r="D283" s="88">
        <v>0</v>
      </c>
      <c r="E283" s="88">
        <v>419.98</v>
      </c>
      <c r="F283" s="88">
        <v>87454.51</v>
      </c>
      <c r="G283" s="88"/>
      <c r="H283" s="88"/>
      <c r="I283" s="108">
        <v>6638</v>
      </c>
      <c r="J283" s="108"/>
      <c r="K283" s="108"/>
      <c r="L283" s="108"/>
      <c r="M283" s="37">
        <v>0</v>
      </c>
      <c r="N283" s="5">
        <f t="shared" si="30"/>
        <v>172318.49</v>
      </c>
      <c r="O283" s="6">
        <f>SUM(N282:N283)</f>
        <v>6079550.850000001</v>
      </c>
    </row>
    <row r="284" spans="1:14" ht="12.75">
      <c r="A284" s="529">
        <v>36708</v>
      </c>
      <c r="B284" s="38" t="s">
        <v>7</v>
      </c>
      <c r="C284" s="89">
        <f>'[1]2000'!C20</f>
        <v>1657613.35</v>
      </c>
      <c r="D284" s="89">
        <f>'[1]2000'!D20</f>
        <v>98499.76</v>
      </c>
      <c r="E284" s="89">
        <f>'[1]2000'!E20</f>
        <v>33063.02</v>
      </c>
      <c r="F284" s="89">
        <f>'[1]2000'!F20</f>
        <v>4372399</v>
      </c>
      <c r="G284" s="89"/>
      <c r="H284" s="89"/>
      <c r="I284" s="109">
        <f>'[1]2000'!G20</f>
        <v>115428.88</v>
      </c>
      <c r="J284" s="109"/>
      <c r="K284" s="109"/>
      <c r="L284" s="109"/>
      <c r="M284" s="39">
        <f>'[1]2000'!H20</f>
        <v>101702.85</v>
      </c>
      <c r="N284" s="8">
        <f t="shared" si="30"/>
        <v>6378706.859999999</v>
      </c>
    </row>
    <row r="285" spans="1:15" ht="12.75">
      <c r="A285" s="530"/>
      <c r="B285" s="40" t="s">
        <v>8</v>
      </c>
      <c r="C285" s="82">
        <f>'[1]2000'!C21</f>
        <v>87242.81</v>
      </c>
      <c r="D285" s="82">
        <f>'[1]2000'!D21</f>
        <v>0</v>
      </c>
      <c r="E285" s="82">
        <f>'[1]2000'!E21</f>
        <v>7217.22</v>
      </c>
      <c r="F285" s="82">
        <f>'[1]2000'!F21</f>
        <v>149284.51</v>
      </c>
      <c r="G285" s="82"/>
      <c r="H285" s="82"/>
      <c r="I285" s="104">
        <f>'[1]2000'!G21</f>
        <v>51550.41</v>
      </c>
      <c r="J285" s="104"/>
      <c r="K285" s="104"/>
      <c r="L285" s="104"/>
      <c r="M285" s="41">
        <f>'[1]2000'!H21</f>
        <v>929.96</v>
      </c>
      <c r="N285" s="8">
        <f t="shared" si="30"/>
        <v>296224.91000000003</v>
      </c>
      <c r="O285" s="6">
        <f>SUM(N284:N285)</f>
        <v>6674931.77</v>
      </c>
    </row>
    <row r="286" spans="1:14" ht="12.75">
      <c r="A286" s="497">
        <f>A284+366</f>
        <v>37074</v>
      </c>
      <c r="B286" s="26" t="s">
        <v>7</v>
      </c>
      <c r="C286" s="83">
        <v>1750027.64</v>
      </c>
      <c r="D286" s="83">
        <v>95045.42</v>
      </c>
      <c r="E286" s="83">
        <v>17478.32</v>
      </c>
      <c r="F286" s="83">
        <v>5046923.06</v>
      </c>
      <c r="G286" s="83"/>
      <c r="H286" s="83"/>
      <c r="I286" s="105">
        <v>6728.5</v>
      </c>
      <c r="J286" s="105"/>
      <c r="K286" s="105"/>
      <c r="L286" s="105"/>
      <c r="M286" s="27">
        <v>57664.02</v>
      </c>
      <c r="N286" s="9">
        <f t="shared" si="30"/>
        <v>6973866.959999999</v>
      </c>
    </row>
    <row r="287" spans="1:15" ht="12.75">
      <c r="A287" s="497"/>
      <c r="B287" s="28" t="s">
        <v>8</v>
      </c>
      <c r="C287" s="84">
        <v>92106.72</v>
      </c>
      <c r="D287" s="93"/>
      <c r="E287" s="84">
        <v>8720.11</v>
      </c>
      <c r="F287" s="84">
        <v>232070</v>
      </c>
      <c r="G287" s="84"/>
      <c r="H287" s="84"/>
      <c r="I287" s="20">
        <v>148245.12</v>
      </c>
      <c r="J287" s="20"/>
      <c r="K287" s="20"/>
      <c r="L287" s="20"/>
      <c r="M287" s="29">
        <v>10257.37</v>
      </c>
      <c r="N287" s="9">
        <f t="shared" si="30"/>
        <v>491399.32</v>
      </c>
      <c r="O287" s="6">
        <f>SUM(N286:N287)</f>
        <v>7465266.279999999</v>
      </c>
    </row>
    <row r="288" spans="1:15" ht="12.75">
      <c r="A288" s="534">
        <v>37438</v>
      </c>
      <c r="B288" s="30" t="s">
        <v>7</v>
      </c>
      <c r="C288" s="85">
        <v>1061498.75</v>
      </c>
      <c r="D288" s="85">
        <v>77305.33</v>
      </c>
      <c r="E288" s="85">
        <v>0</v>
      </c>
      <c r="F288" s="85">
        <v>4439500.09</v>
      </c>
      <c r="G288" s="85"/>
      <c r="H288" s="85"/>
      <c r="I288" s="106">
        <v>122972.5</v>
      </c>
      <c r="J288" s="106"/>
      <c r="K288" s="106"/>
      <c r="L288" s="106"/>
      <c r="M288" s="31">
        <v>25916.38</v>
      </c>
      <c r="N288" s="19">
        <f t="shared" si="30"/>
        <v>5727193.05</v>
      </c>
      <c r="O288" s="6"/>
    </row>
    <row r="289" spans="1:15" ht="12.75">
      <c r="A289" s="534"/>
      <c r="B289" s="32" t="s">
        <v>8</v>
      </c>
      <c r="C289" s="86">
        <v>55868.36</v>
      </c>
      <c r="D289" s="86">
        <v>95175.5</v>
      </c>
      <c r="E289" s="86">
        <v>24840.5</v>
      </c>
      <c r="F289" s="86">
        <v>144801.69</v>
      </c>
      <c r="G289" s="86"/>
      <c r="H289" s="86">
        <v>3199.06</v>
      </c>
      <c r="I289" s="22">
        <v>158109.33</v>
      </c>
      <c r="J289" s="22"/>
      <c r="K289" s="22"/>
      <c r="L289" s="22"/>
      <c r="M289" s="33">
        <v>19798.47</v>
      </c>
      <c r="N289" s="19">
        <f t="shared" si="30"/>
        <v>501792.9099999999</v>
      </c>
      <c r="O289" s="6">
        <f>SUM(N288:N289)</f>
        <v>6228985.96</v>
      </c>
    </row>
    <row r="290" spans="1:15" ht="12.75">
      <c r="A290" s="519">
        <v>37803</v>
      </c>
      <c r="B290" s="115" t="s">
        <v>7</v>
      </c>
      <c r="C290" s="116">
        <v>1193203.76</v>
      </c>
      <c r="D290" s="116">
        <v>178264.97</v>
      </c>
      <c r="E290" s="116"/>
      <c r="F290" s="116">
        <f>234049.36+4142764.42</f>
        <v>4376813.78</v>
      </c>
      <c r="G290" s="116"/>
      <c r="H290" s="116"/>
      <c r="I290" s="117">
        <v>28187.5</v>
      </c>
      <c r="J290" s="117"/>
      <c r="K290" s="117"/>
      <c r="L290" s="117"/>
      <c r="M290" s="118">
        <v>39975.81</v>
      </c>
      <c r="N290" s="113">
        <f t="shared" si="30"/>
        <v>5816445.819999999</v>
      </c>
      <c r="O290" s="6"/>
    </row>
    <row r="291" spans="1:15" ht="13.5" thickBot="1">
      <c r="A291" s="520"/>
      <c r="B291" s="119" t="s">
        <v>8</v>
      </c>
      <c r="C291" s="120">
        <v>183397</v>
      </c>
      <c r="D291" s="120">
        <v>152480.5</v>
      </c>
      <c r="E291" s="120">
        <v>71450.37</v>
      </c>
      <c r="F291" s="120">
        <v>177284.87</v>
      </c>
      <c r="G291" s="120"/>
      <c r="H291" s="120">
        <v>11677.23</v>
      </c>
      <c r="I291" s="121">
        <v>206862.48</v>
      </c>
      <c r="J291" s="121"/>
      <c r="K291" s="121"/>
      <c r="L291" s="121"/>
      <c r="M291" s="67">
        <v>28353.47</v>
      </c>
      <c r="N291" s="113">
        <f t="shared" si="30"/>
        <v>831505.9199999999</v>
      </c>
      <c r="O291" s="6">
        <f>SUM(N290:N291)</f>
        <v>6647951.739999999</v>
      </c>
    </row>
    <row r="292" spans="1:15" ht="12.75">
      <c r="A292" s="523">
        <v>38169</v>
      </c>
      <c r="B292" s="214" t="s">
        <v>7</v>
      </c>
      <c r="C292" s="215">
        <v>1717385.65</v>
      </c>
      <c r="D292" s="215">
        <v>149828.9</v>
      </c>
      <c r="E292" s="215"/>
      <c r="F292" s="215">
        <f>161361.17+4743393.92</f>
        <v>4904755.09</v>
      </c>
      <c r="G292" s="215"/>
      <c r="H292" s="215"/>
      <c r="I292" s="216">
        <v>204719.53</v>
      </c>
      <c r="J292" s="216"/>
      <c r="K292" s="216"/>
      <c r="L292" s="216"/>
      <c r="M292" s="217">
        <v>67663.92</v>
      </c>
      <c r="N292" s="218">
        <f t="shared" si="30"/>
        <v>7044353.09</v>
      </c>
      <c r="O292" s="6"/>
    </row>
    <row r="293" spans="1:15" ht="13.5" thickBot="1">
      <c r="A293" s="524"/>
      <c r="B293" s="223" t="s">
        <v>8</v>
      </c>
      <c r="C293" s="224">
        <v>274035.71</v>
      </c>
      <c r="D293" s="224">
        <v>225543.62</v>
      </c>
      <c r="E293" s="225">
        <v>91218.48</v>
      </c>
      <c r="F293" s="224">
        <v>296979.26</v>
      </c>
      <c r="G293" s="224"/>
      <c r="H293" s="224">
        <v>76663.87</v>
      </c>
      <c r="I293" s="226">
        <v>255996.95</v>
      </c>
      <c r="J293" s="226"/>
      <c r="K293" s="226"/>
      <c r="L293" s="226">
        <v>78902</v>
      </c>
      <c r="M293" s="227">
        <v>7686.45</v>
      </c>
      <c r="N293" s="218">
        <f t="shared" si="30"/>
        <v>1307026.34</v>
      </c>
      <c r="O293" s="6">
        <f>SUM(N292:N293)</f>
        <v>8351379.43</v>
      </c>
    </row>
    <row r="294" spans="1:15" ht="12.75">
      <c r="A294" s="517">
        <v>38534</v>
      </c>
      <c r="B294" s="274" t="s">
        <v>7</v>
      </c>
      <c r="C294" s="275">
        <v>1558118.84</v>
      </c>
      <c r="D294" s="275">
        <v>160360.32</v>
      </c>
      <c r="E294" s="275"/>
      <c r="F294" s="275">
        <f>4332062.37+100855.33</f>
        <v>4432917.7</v>
      </c>
      <c r="G294" s="275">
        <v>6591.08</v>
      </c>
      <c r="H294" s="275"/>
      <c r="I294" s="276">
        <v>195085.51</v>
      </c>
      <c r="J294" s="276"/>
      <c r="K294" s="276"/>
      <c r="L294" s="276"/>
      <c r="M294" s="277">
        <v>69453.62</v>
      </c>
      <c r="N294" s="273">
        <f aca="true" t="shared" si="33" ref="N294:N299">SUM(C294:M294)</f>
        <v>6422527.07</v>
      </c>
      <c r="O294" s="6"/>
    </row>
    <row r="295" spans="1:15" ht="13.5" thickBot="1">
      <c r="A295" s="518"/>
      <c r="B295" s="282" t="s">
        <v>8</v>
      </c>
      <c r="C295" s="283">
        <v>846510.93</v>
      </c>
      <c r="D295" s="283">
        <v>188892.7</v>
      </c>
      <c r="E295" s="284">
        <f>19146.94-19146.94+97435.8</f>
        <v>97435.8</v>
      </c>
      <c r="F295" s="283">
        <f>293838.63</f>
        <v>293838.63</v>
      </c>
      <c r="G295" s="283">
        <v>70481.91</v>
      </c>
      <c r="H295" s="283">
        <v>168046.91</v>
      </c>
      <c r="I295" s="285">
        <v>216060.13</v>
      </c>
      <c r="J295" s="285"/>
      <c r="K295" s="285"/>
      <c r="L295" s="285">
        <v>58368</v>
      </c>
      <c r="M295" s="286">
        <v>19855.19</v>
      </c>
      <c r="N295" s="273">
        <f t="shared" si="33"/>
        <v>1959490.1999999997</v>
      </c>
      <c r="O295" s="6">
        <f>SUM(N294:N295)</f>
        <v>8382017.27</v>
      </c>
    </row>
    <row r="296" spans="1:15" ht="12.75">
      <c r="A296" s="527">
        <v>38899</v>
      </c>
      <c r="B296" s="289" t="s">
        <v>7</v>
      </c>
      <c r="C296" s="290">
        <v>1693065.24</v>
      </c>
      <c r="D296" s="290">
        <v>-6.02</v>
      </c>
      <c r="E296" s="290"/>
      <c r="F296" s="290">
        <f>3646869.78+53541.52</f>
        <v>3700411.3</v>
      </c>
      <c r="G296" s="290">
        <v>845.46</v>
      </c>
      <c r="H296" s="290"/>
      <c r="I296" s="291">
        <v>59038.33</v>
      </c>
      <c r="J296" s="291"/>
      <c r="K296" s="291"/>
      <c r="L296" s="291"/>
      <c r="M296" s="292">
        <v>87194.03</v>
      </c>
      <c r="N296" s="293">
        <f t="shared" si="33"/>
        <v>5540548.34</v>
      </c>
      <c r="O296" s="6"/>
    </row>
    <row r="297" spans="1:15" ht="13.5" thickBot="1">
      <c r="A297" s="528"/>
      <c r="B297" s="299" t="s">
        <v>8</v>
      </c>
      <c r="C297" s="300">
        <v>732384</v>
      </c>
      <c r="D297" s="300">
        <v>356571.85</v>
      </c>
      <c r="E297" s="301">
        <v>223113.77</v>
      </c>
      <c r="F297" s="300">
        <f>364092.71</f>
        <v>364092.71</v>
      </c>
      <c r="G297" s="300">
        <v>164495.4</v>
      </c>
      <c r="H297" s="300">
        <v>174296.05</v>
      </c>
      <c r="I297" s="302">
        <v>196263.69</v>
      </c>
      <c r="J297" s="302"/>
      <c r="K297" s="302"/>
      <c r="L297" s="302">
        <v>0</v>
      </c>
      <c r="M297" s="303">
        <v>6080.83</v>
      </c>
      <c r="N297" s="293">
        <f t="shared" si="33"/>
        <v>2217298.3000000003</v>
      </c>
      <c r="O297" s="6">
        <f>SUM(N296:N297)</f>
        <v>7757846.640000001</v>
      </c>
    </row>
    <row r="298" spans="1:15" ht="12.75">
      <c r="A298" s="502" t="s">
        <v>45</v>
      </c>
      <c r="B298" s="305" t="s">
        <v>7</v>
      </c>
      <c r="C298" s="306">
        <v>1517928.4</v>
      </c>
      <c r="D298" s="306">
        <f>211635.44</f>
        <v>211635.44</v>
      </c>
      <c r="E298" s="306"/>
      <c r="F298" s="306">
        <f>9510.17+3677687.81</f>
        <v>3687197.98</v>
      </c>
      <c r="G298" s="306">
        <f>4502.83</f>
        <v>4502.83</v>
      </c>
      <c r="H298" s="306"/>
      <c r="I298" s="307">
        <v>75170.81</v>
      </c>
      <c r="J298" s="307"/>
      <c r="K298" s="307"/>
      <c r="L298" s="307"/>
      <c r="M298" s="308">
        <v>64752.46</v>
      </c>
      <c r="N298" s="304">
        <f t="shared" si="33"/>
        <v>5561187.92</v>
      </c>
      <c r="O298" s="6"/>
    </row>
    <row r="299" spans="1:15" ht="13.5" thickBot="1">
      <c r="A299" s="503"/>
      <c r="B299" s="313" t="s">
        <v>8</v>
      </c>
      <c r="C299" s="309">
        <f>1219240.68-60962.03</f>
        <v>1158278.65</v>
      </c>
      <c r="D299" s="309">
        <f>198899.69</f>
        <v>198899.69</v>
      </c>
      <c r="E299" s="310">
        <f>228587.99</f>
        <v>228587.99</v>
      </c>
      <c r="F299" s="309">
        <f>250820.28</f>
        <v>250820.28</v>
      </c>
      <c r="G299" s="309">
        <f>129849.11</f>
        <v>129849.11</v>
      </c>
      <c r="H299" s="309">
        <v>228694.37</v>
      </c>
      <c r="I299" s="311">
        <v>140027.92</v>
      </c>
      <c r="J299" s="311"/>
      <c r="K299" s="311"/>
      <c r="L299" s="311"/>
      <c r="M299" s="312">
        <v>2968.61</v>
      </c>
      <c r="N299" s="304">
        <f t="shared" si="33"/>
        <v>2338126.6199999996</v>
      </c>
      <c r="O299" s="6">
        <f>SUM(N298:N299)</f>
        <v>7899314.539999999</v>
      </c>
    </row>
    <row r="300" spans="1:25" ht="12.75">
      <c r="A300" s="511" t="s">
        <v>59</v>
      </c>
      <c r="B300" s="318" t="s">
        <v>7</v>
      </c>
      <c r="C300" s="319">
        <v>1663506.08</v>
      </c>
      <c r="D300" s="319">
        <f>535.93</f>
        <v>535.93</v>
      </c>
      <c r="E300" s="319">
        <f>0</f>
        <v>0</v>
      </c>
      <c r="F300" s="319">
        <f>7033.69+3780038.66</f>
        <v>3787072.35</v>
      </c>
      <c r="G300" s="319">
        <f>15569.77</f>
        <v>15569.77</v>
      </c>
      <c r="H300" s="319">
        <f>0</f>
        <v>0</v>
      </c>
      <c r="I300" s="320">
        <v>106196.26</v>
      </c>
      <c r="J300" s="320"/>
      <c r="K300" s="320"/>
      <c r="L300" s="320">
        <v>0</v>
      </c>
      <c r="M300" s="321">
        <f>13660.6</f>
        <v>13660.6</v>
      </c>
      <c r="N300" s="322">
        <f>SUM(B300:M300)</f>
        <v>5586540.989999999</v>
      </c>
      <c r="O300" s="6"/>
      <c r="S300" s="7"/>
      <c r="T300" s="7"/>
      <c r="U300" s="7"/>
      <c r="V300" s="7"/>
      <c r="W300" s="7"/>
      <c r="X300" s="7"/>
      <c r="Y300" s="6"/>
    </row>
    <row r="301" spans="1:25" ht="13.5" thickBot="1">
      <c r="A301" s="512"/>
      <c r="B301" s="323" t="s">
        <v>8</v>
      </c>
      <c r="C301" s="324">
        <v>1198914.36</v>
      </c>
      <c r="D301" s="324">
        <f>421882.63</f>
        <v>421882.63</v>
      </c>
      <c r="E301" s="325">
        <v>318686.13</v>
      </c>
      <c r="F301" s="324">
        <f>199805.55</f>
        <v>199805.55</v>
      </c>
      <c r="G301" s="324">
        <f>151713.2</f>
        <v>151713.2</v>
      </c>
      <c r="H301" s="324">
        <f>244562.51</f>
        <v>244562.51</v>
      </c>
      <c r="I301" s="326">
        <v>111414.07</v>
      </c>
      <c r="J301" s="326"/>
      <c r="K301" s="326"/>
      <c r="L301" s="326">
        <v>0</v>
      </c>
      <c r="M301" s="327">
        <f>9517.44</f>
        <v>9517.44</v>
      </c>
      <c r="N301" s="322">
        <f>SUM(B301:M301)</f>
        <v>2656495.8899999997</v>
      </c>
      <c r="O301" s="6">
        <f>SUM(N300:N301)</f>
        <v>8243036.879999999</v>
      </c>
      <c r="S301" s="7"/>
      <c r="T301" s="7"/>
      <c r="U301" s="7"/>
      <c r="V301" s="7"/>
      <c r="W301" s="7"/>
      <c r="X301" s="7"/>
      <c r="Y301" s="6"/>
    </row>
    <row r="302" spans="1:25" ht="12.75">
      <c r="A302" s="532" t="s">
        <v>74</v>
      </c>
      <c r="B302" s="333" t="s">
        <v>7</v>
      </c>
      <c r="C302" s="334">
        <v>1737431.69</v>
      </c>
      <c r="D302" s="334">
        <v>441.29</v>
      </c>
      <c r="E302" s="334">
        <v>0</v>
      </c>
      <c r="F302" s="334">
        <f>35135.3+1272343.53</f>
        <v>1307478.83</v>
      </c>
      <c r="G302" s="334">
        <f>127826.78</f>
        <v>127826.78</v>
      </c>
      <c r="H302" s="334">
        <v>0</v>
      </c>
      <c r="I302" s="335">
        <v>54520.26</v>
      </c>
      <c r="J302" s="335"/>
      <c r="K302" s="335">
        <v>0</v>
      </c>
      <c r="L302" s="335">
        <v>0</v>
      </c>
      <c r="M302" s="336">
        <v>0</v>
      </c>
      <c r="N302" s="337">
        <f>SUM(B302:M302)</f>
        <v>3227698.8499999996</v>
      </c>
      <c r="O302" s="6"/>
      <c r="S302" s="7"/>
      <c r="T302" s="7"/>
      <c r="U302" s="7"/>
      <c r="V302" s="7"/>
      <c r="W302" s="7"/>
      <c r="X302" s="7"/>
      <c r="Y302" s="6"/>
    </row>
    <row r="303" spans="1:25" ht="13.5" thickBot="1">
      <c r="A303" s="533"/>
      <c r="B303" s="338" t="s">
        <v>8</v>
      </c>
      <c r="C303" s="339">
        <v>1437832.15</v>
      </c>
      <c r="D303" s="339">
        <v>234931.09</v>
      </c>
      <c r="E303" s="340">
        <v>390595</v>
      </c>
      <c r="F303" s="339">
        <f>192567.11</f>
        <v>192567.11</v>
      </c>
      <c r="G303" s="339">
        <f>125349.95</f>
        <v>125349.95</v>
      </c>
      <c r="H303" s="339">
        <v>224791.77</v>
      </c>
      <c r="I303" s="341">
        <v>133435.92</v>
      </c>
      <c r="J303" s="341"/>
      <c r="K303" s="341">
        <v>7476.06</v>
      </c>
      <c r="L303" s="341">
        <v>0</v>
      </c>
      <c r="M303" s="342">
        <v>0</v>
      </c>
      <c r="N303" s="337">
        <f>SUM(B303:M303)</f>
        <v>2746979.0500000003</v>
      </c>
      <c r="O303" s="6">
        <f>SUM(N302:N303)</f>
        <v>5974677.9</v>
      </c>
      <c r="S303" s="7"/>
      <c r="T303" s="7"/>
      <c r="U303" s="7"/>
      <c r="V303" s="7"/>
      <c r="W303" s="7"/>
      <c r="X303" s="7"/>
      <c r="Y303" s="6"/>
    </row>
    <row r="304" spans="1:25" ht="12.75">
      <c r="A304" s="506" t="s">
        <v>88</v>
      </c>
      <c r="B304" s="347" t="s">
        <v>7</v>
      </c>
      <c r="C304" s="348">
        <v>1882046.5</v>
      </c>
      <c r="D304" s="348">
        <v>1299.33</v>
      </c>
      <c r="E304" s="348">
        <v>0</v>
      </c>
      <c r="F304" s="348">
        <f>25874.17+660370.87</f>
        <v>686245.04</v>
      </c>
      <c r="G304" s="348">
        <v>205280.42</v>
      </c>
      <c r="H304" s="348">
        <v>0</v>
      </c>
      <c r="I304" s="349">
        <v>40654.14</v>
      </c>
      <c r="J304" s="349"/>
      <c r="K304" s="349">
        <v>0</v>
      </c>
      <c r="L304" s="349">
        <v>0</v>
      </c>
      <c r="M304" s="350">
        <v>0</v>
      </c>
      <c r="N304" s="351">
        <f aca="true" t="shared" si="34" ref="N304:N309">SUM(C304:M304)</f>
        <v>2815525.43</v>
      </c>
      <c r="O304" s="6"/>
      <c r="S304" s="7"/>
      <c r="T304" s="7"/>
      <c r="U304" s="7"/>
      <c r="V304" s="7"/>
      <c r="W304" s="7"/>
      <c r="X304" s="7"/>
      <c r="Y304" s="6"/>
    </row>
    <row r="305" spans="1:25" ht="13.5" thickBot="1">
      <c r="A305" s="507" t="s">
        <v>82</v>
      </c>
      <c r="B305" s="352" t="s">
        <v>8</v>
      </c>
      <c r="C305" s="353">
        <v>856858.48</v>
      </c>
      <c r="D305" s="353">
        <v>159247.87</v>
      </c>
      <c r="E305" s="354">
        <v>331738.73</v>
      </c>
      <c r="F305" s="353">
        <v>139630.76</v>
      </c>
      <c r="G305" s="353">
        <v>120567.05</v>
      </c>
      <c r="H305" s="353">
        <v>119837.52</v>
      </c>
      <c r="I305" s="355">
        <v>103242.19</v>
      </c>
      <c r="J305" s="355"/>
      <c r="K305" s="355">
        <v>3129.22</v>
      </c>
      <c r="L305" s="355">
        <v>0</v>
      </c>
      <c r="M305" s="356">
        <v>0</v>
      </c>
      <c r="N305" s="351">
        <f t="shared" si="34"/>
        <v>1834251.82</v>
      </c>
      <c r="O305" s="6">
        <f>SUM(N304:N305)</f>
        <v>4649777.25</v>
      </c>
      <c r="S305" s="7"/>
      <c r="T305" s="7"/>
      <c r="U305" s="7"/>
      <c r="V305" s="7"/>
      <c r="W305" s="7"/>
      <c r="X305" s="7"/>
      <c r="Y305" s="6"/>
    </row>
    <row r="306" spans="1:25" ht="12.75">
      <c r="A306" s="513" t="s">
        <v>102</v>
      </c>
      <c r="B306" s="357" t="s">
        <v>7</v>
      </c>
      <c r="C306" s="358">
        <v>2325037.58</v>
      </c>
      <c r="D306" s="358">
        <v>0</v>
      </c>
      <c r="E306" s="358">
        <v>0</v>
      </c>
      <c r="F306" s="358">
        <f>82672.87+725352.45</f>
        <v>808025.32</v>
      </c>
      <c r="G306" s="358">
        <v>238509.41</v>
      </c>
      <c r="H306" s="358">
        <v>0</v>
      </c>
      <c r="I306" s="359">
        <v>38282.43</v>
      </c>
      <c r="J306" s="359"/>
      <c r="K306" s="359">
        <v>0</v>
      </c>
      <c r="L306" s="359">
        <v>0</v>
      </c>
      <c r="M306" s="360">
        <v>0</v>
      </c>
      <c r="N306" s="361">
        <f t="shared" si="34"/>
        <v>3409854.74</v>
      </c>
      <c r="O306" s="6"/>
      <c r="S306" s="7"/>
      <c r="T306" s="7"/>
      <c r="U306" s="7"/>
      <c r="V306" s="7"/>
      <c r="W306" s="7"/>
      <c r="X306" s="7"/>
      <c r="Y306" s="6"/>
    </row>
    <row r="307" spans="1:25" ht="13.5" thickBot="1">
      <c r="A307" s="514" t="s">
        <v>82</v>
      </c>
      <c r="B307" s="362" t="s">
        <v>8</v>
      </c>
      <c r="C307" s="363">
        <v>1477808.38</v>
      </c>
      <c r="D307" s="363">
        <v>290709.63</v>
      </c>
      <c r="E307" s="364">
        <v>329633.07</v>
      </c>
      <c r="F307" s="363">
        <f>184812.98</f>
        <v>184812.98</v>
      </c>
      <c r="G307" s="363">
        <v>169221.11</v>
      </c>
      <c r="H307" s="363">
        <v>226642.3</v>
      </c>
      <c r="I307" s="365">
        <v>202722.15</v>
      </c>
      <c r="J307" s="365"/>
      <c r="K307" s="365">
        <v>8241.88</v>
      </c>
      <c r="L307" s="365">
        <v>0</v>
      </c>
      <c r="M307" s="366">
        <v>0</v>
      </c>
      <c r="N307" s="361">
        <f t="shared" si="34"/>
        <v>2889791.499999999</v>
      </c>
      <c r="O307" s="6">
        <f>SUM(N306:N307)</f>
        <v>6299646.239999999</v>
      </c>
      <c r="S307" s="7"/>
      <c r="T307" s="7"/>
      <c r="U307" s="7"/>
      <c r="V307" s="7"/>
      <c r="W307" s="7"/>
      <c r="X307" s="7"/>
      <c r="Y307" s="6"/>
    </row>
    <row r="308" spans="1:25" ht="12.75">
      <c r="A308" s="525">
        <v>41091</v>
      </c>
      <c r="B308" s="367" t="s">
        <v>7</v>
      </c>
      <c r="C308" s="368">
        <v>2109104.21</v>
      </c>
      <c r="D308" s="368">
        <v>0</v>
      </c>
      <c r="E308" s="368">
        <v>0</v>
      </c>
      <c r="F308" s="368">
        <f>43818.54+551238.98</f>
        <v>595057.52</v>
      </c>
      <c r="G308" s="368">
        <f>9508.09</f>
        <v>9508.09</v>
      </c>
      <c r="H308" s="368">
        <v>0</v>
      </c>
      <c r="I308" s="369">
        <v>51910.97</v>
      </c>
      <c r="J308" s="369">
        <v>0</v>
      </c>
      <c r="K308" s="369">
        <v>0</v>
      </c>
      <c r="L308" s="369">
        <v>0</v>
      </c>
      <c r="M308" s="370">
        <v>0</v>
      </c>
      <c r="N308" s="371">
        <f t="shared" si="34"/>
        <v>2765580.79</v>
      </c>
      <c r="O308" s="6"/>
      <c r="S308" s="7"/>
      <c r="T308" s="7"/>
      <c r="U308" s="7"/>
      <c r="V308" s="7"/>
      <c r="W308" s="7"/>
      <c r="X308" s="7"/>
      <c r="Y308" s="6"/>
    </row>
    <row r="309" spans="1:25" ht="13.5" thickBot="1">
      <c r="A309" s="526"/>
      <c r="B309" s="372" t="s">
        <v>8</v>
      </c>
      <c r="C309" s="373">
        <v>1425293.97</v>
      </c>
      <c r="D309" s="373">
        <v>197517.42</v>
      </c>
      <c r="E309" s="373">
        <v>330094.53</v>
      </c>
      <c r="F309" s="373">
        <f>194537.7</f>
        <v>194537.7</v>
      </c>
      <c r="G309" s="373">
        <f>133354.4</f>
        <v>133354.4</v>
      </c>
      <c r="H309" s="373">
        <v>285170.37</v>
      </c>
      <c r="I309" s="374">
        <v>195796.93</v>
      </c>
      <c r="J309" s="374">
        <v>46915.93</v>
      </c>
      <c r="K309" s="374">
        <v>18315.22</v>
      </c>
      <c r="L309" s="374">
        <v>0</v>
      </c>
      <c r="M309" s="375">
        <v>0</v>
      </c>
      <c r="N309" s="371">
        <f t="shared" si="34"/>
        <v>2826996.4700000007</v>
      </c>
      <c r="O309" s="6">
        <f>SUM(N308:N309)</f>
        <v>5592577.260000001</v>
      </c>
      <c r="S309" s="7"/>
      <c r="T309" s="7"/>
      <c r="U309" s="7"/>
      <c r="V309" s="7"/>
      <c r="W309" s="7"/>
      <c r="X309" s="7"/>
      <c r="Y309" s="6"/>
    </row>
    <row r="310" spans="1:25" ht="12.75">
      <c r="A310" s="521">
        <v>41456</v>
      </c>
      <c r="B310" s="390" t="s">
        <v>7</v>
      </c>
      <c r="C310" s="391">
        <v>2433105.2</v>
      </c>
      <c r="D310" s="391">
        <v>0</v>
      </c>
      <c r="E310" s="391">
        <v>0</v>
      </c>
      <c r="F310" s="391">
        <f>295496.08+34047.78</f>
        <v>329543.86</v>
      </c>
      <c r="G310" s="391">
        <v>6283.94</v>
      </c>
      <c r="H310" s="391">
        <v>0</v>
      </c>
      <c r="I310" s="392">
        <v>40819.92</v>
      </c>
      <c r="J310" s="392">
        <v>0</v>
      </c>
      <c r="K310" s="392">
        <v>0</v>
      </c>
      <c r="L310" s="392">
        <v>0</v>
      </c>
      <c r="M310" s="393">
        <v>0</v>
      </c>
      <c r="N310" s="394">
        <f aca="true" t="shared" si="35" ref="N310:N339">SUM(C310:M310)</f>
        <v>2809752.92</v>
      </c>
      <c r="O310" s="6"/>
      <c r="S310" s="7"/>
      <c r="T310" s="7"/>
      <c r="U310" s="7"/>
      <c r="V310" s="7"/>
      <c r="W310" s="7"/>
      <c r="X310" s="7"/>
      <c r="Y310" s="6"/>
    </row>
    <row r="311" spans="1:25" ht="13.5" thickBot="1">
      <c r="A311" s="531"/>
      <c r="B311" s="395" t="s">
        <v>8</v>
      </c>
      <c r="C311" s="396">
        <v>1647217.65</v>
      </c>
      <c r="D311" s="396">
        <v>187052.78</v>
      </c>
      <c r="E311" s="396">
        <v>457174.85</v>
      </c>
      <c r="F311" s="396">
        <f>264659.37</f>
        <v>264659.37</v>
      </c>
      <c r="G311" s="396">
        <v>147608.19</v>
      </c>
      <c r="H311" s="396">
        <v>274452.94</v>
      </c>
      <c r="I311" s="397">
        <v>265412.67</v>
      </c>
      <c r="J311" s="397">
        <v>111255.44</v>
      </c>
      <c r="K311" s="397">
        <v>6638.25</v>
      </c>
      <c r="L311" s="397">
        <v>0</v>
      </c>
      <c r="M311" s="398">
        <v>0</v>
      </c>
      <c r="N311" s="394">
        <f t="shared" si="35"/>
        <v>3361472.1399999997</v>
      </c>
      <c r="O311" s="6">
        <f>SUM(N310:N311)</f>
        <v>6171225.06</v>
      </c>
      <c r="S311" s="7"/>
      <c r="T311" s="7"/>
      <c r="U311" s="7"/>
      <c r="V311" s="7"/>
      <c r="W311" s="7"/>
      <c r="X311" s="7"/>
      <c r="Y311" s="6"/>
    </row>
    <row r="312" spans="1:25" ht="12.75">
      <c r="A312" s="515">
        <v>41821</v>
      </c>
      <c r="B312" s="403" t="s">
        <v>7</v>
      </c>
      <c r="C312" s="404">
        <f>1631179.8+18620.8</f>
        <v>1649800.6</v>
      </c>
      <c r="D312" s="404">
        <v>0</v>
      </c>
      <c r="E312" s="404">
        <v>0</v>
      </c>
      <c r="F312" s="404">
        <f>42598.23+201386.78</f>
        <v>243985.01</v>
      </c>
      <c r="G312" s="404">
        <f>46151.98</f>
        <v>46151.98</v>
      </c>
      <c r="H312" s="404">
        <v>0</v>
      </c>
      <c r="I312" s="405">
        <v>24253.48</v>
      </c>
      <c r="J312" s="405">
        <v>0</v>
      </c>
      <c r="K312" s="405">
        <v>0</v>
      </c>
      <c r="L312" s="405">
        <v>0</v>
      </c>
      <c r="M312" s="406">
        <v>0</v>
      </c>
      <c r="N312" s="407">
        <f t="shared" si="35"/>
        <v>1964191.07</v>
      </c>
      <c r="S312" s="7"/>
      <c r="T312" s="7"/>
      <c r="U312" s="7"/>
      <c r="V312" s="7"/>
      <c r="W312" s="7"/>
      <c r="X312" s="7"/>
      <c r="Y312" s="6"/>
    </row>
    <row r="313" spans="1:25" ht="13.5" thickBot="1">
      <c r="A313" s="516"/>
      <c r="B313" s="408" t="s">
        <v>8</v>
      </c>
      <c r="C313" s="409">
        <f>1700369.4+165821.95</f>
        <v>1866191.3499999999</v>
      </c>
      <c r="D313" s="409">
        <v>214021.45</v>
      </c>
      <c r="E313" s="409">
        <v>395033.62</v>
      </c>
      <c r="F313" s="409">
        <f>268655.93+10811.19</f>
        <v>279467.12</v>
      </c>
      <c r="G313" s="409">
        <f>150034.46</f>
        <v>150034.46</v>
      </c>
      <c r="H313" s="409">
        <v>310002.8</v>
      </c>
      <c r="I313" s="410">
        <v>226125.15</v>
      </c>
      <c r="J313" s="410">
        <v>102737.68</v>
      </c>
      <c r="K313" s="410">
        <v>5180.85</v>
      </c>
      <c r="L313" s="410">
        <v>0</v>
      </c>
      <c r="M313" s="411">
        <v>0</v>
      </c>
      <c r="N313" s="407">
        <f t="shared" si="35"/>
        <v>3548794.48</v>
      </c>
      <c r="O313" s="6">
        <f>SUM(N312:N313)</f>
        <v>5512985.55</v>
      </c>
      <c r="S313" s="7"/>
      <c r="T313" s="7"/>
      <c r="U313" s="7"/>
      <c r="V313" s="7"/>
      <c r="W313" s="7"/>
      <c r="X313" s="7"/>
      <c r="Y313" s="6"/>
    </row>
    <row r="314" spans="1:25" ht="12.75">
      <c r="A314" s="495" t="s">
        <v>121</v>
      </c>
      <c r="B314" s="416" t="s">
        <v>7</v>
      </c>
      <c r="C314" s="417">
        <f>1441757.6+15477.28</f>
        <v>1457234.8800000001</v>
      </c>
      <c r="D314" s="417">
        <f>0</f>
        <v>0</v>
      </c>
      <c r="E314" s="417">
        <v>0</v>
      </c>
      <c r="F314" s="417">
        <f>62589.44+151559.23</f>
        <v>214148.67</v>
      </c>
      <c r="G314" s="417">
        <f>74985.88</f>
        <v>74985.88</v>
      </c>
      <c r="H314" s="417">
        <v>0</v>
      </c>
      <c r="I314" s="418">
        <f>27110.83</f>
        <v>27110.83</v>
      </c>
      <c r="J314" s="418"/>
      <c r="K314" s="418">
        <v>0</v>
      </c>
      <c r="L314" s="418">
        <v>0</v>
      </c>
      <c r="M314" s="419">
        <v>0</v>
      </c>
      <c r="N314" s="420">
        <f aca="true" t="shared" si="36" ref="N314:N319">SUM(C314:M314)</f>
        <v>1773480.2600000002</v>
      </c>
      <c r="O314" s="6"/>
      <c r="S314" s="7"/>
      <c r="T314" s="7"/>
      <c r="U314" s="7"/>
      <c r="V314" s="7"/>
      <c r="W314" s="7"/>
      <c r="X314" s="7"/>
      <c r="Y314" s="6"/>
    </row>
    <row r="315" spans="1:25" ht="13.5" thickBot="1">
      <c r="A315" s="496"/>
      <c r="B315" s="421" t="s">
        <v>8</v>
      </c>
      <c r="C315" s="422">
        <f>1789004.08+225204.65</f>
        <v>2014208.73</v>
      </c>
      <c r="D315" s="422">
        <v>252674.13</v>
      </c>
      <c r="E315" s="423">
        <v>346899.25</v>
      </c>
      <c r="F315" s="422">
        <f>213502.89+3504.7</f>
        <v>217007.59000000003</v>
      </c>
      <c r="G315" s="422">
        <f>223600.16</f>
        <v>223600.16</v>
      </c>
      <c r="H315" s="422">
        <v>642644.96</v>
      </c>
      <c r="I315" s="424">
        <f>282424.9</f>
        <v>282424.9</v>
      </c>
      <c r="J315" s="424">
        <v>136262.3</v>
      </c>
      <c r="K315" s="424">
        <v>5110.34</v>
      </c>
      <c r="L315" s="424">
        <v>0</v>
      </c>
      <c r="M315" s="425">
        <v>0</v>
      </c>
      <c r="N315" s="420">
        <f t="shared" si="36"/>
        <v>4120832.3599999994</v>
      </c>
      <c r="O315" s="6">
        <f>SUM(N314:N315)</f>
        <v>5894312.619999999</v>
      </c>
      <c r="S315" s="7"/>
      <c r="T315" s="7"/>
      <c r="U315" s="7"/>
      <c r="V315" s="7"/>
      <c r="W315" s="7"/>
      <c r="X315" s="7"/>
      <c r="Y315" s="6"/>
    </row>
    <row r="316" spans="1:25" ht="12.75">
      <c r="A316" s="511" t="s">
        <v>134</v>
      </c>
      <c r="B316" s="427" t="s">
        <v>7</v>
      </c>
      <c r="C316" s="428">
        <v>1347990.5</v>
      </c>
      <c r="D316" s="428">
        <v>0</v>
      </c>
      <c r="E316" s="428">
        <v>0</v>
      </c>
      <c r="F316" s="428">
        <f>165695.69+49041.12</f>
        <v>214736.81</v>
      </c>
      <c r="G316" s="428">
        <f>35476.51</f>
        <v>35476.51</v>
      </c>
      <c r="H316" s="428">
        <v>0</v>
      </c>
      <c r="I316" s="429">
        <v>21733.15</v>
      </c>
      <c r="J316" s="429">
        <v>0</v>
      </c>
      <c r="K316" s="429">
        <v>0</v>
      </c>
      <c r="L316" s="429">
        <v>0</v>
      </c>
      <c r="M316" s="430">
        <v>0</v>
      </c>
      <c r="N316" s="431">
        <f t="shared" si="36"/>
        <v>1619936.97</v>
      </c>
      <c r="O316" s="6"/>
      <c r="S316" s="7"/>
      <c r="T316" s="7"/>
      <c r="U316" s="7"/>
      <c r="V316" s="7"/>
      <c r="W316" s="7"/>
      <c r="X316" s="7"/>
      <c r="Y316" s="6"/>
    </row>
    <row r="317" spans="1:25" ht="13.5" thickBot="1">
      <c r="A317" s="512"/>
      <c r="B317" s="432" t="s">
        <v>8</v>
      </c>
      <c r="C317" s="433">
        <v>2483438.02</v>
      </c>
      <c r="D317" s="433">
        <v>242768.02</v>
      </c>
      <c r="E317" s="434">
        <v>368053.82</v>
      </c>
      <c r="F317" s="433">
        <f>276941.95</f>
        <v>276941.95</v>
      </c>
      <c r="G317" s="433">
        <f>213658.08</f>
        <v>213658.08</v>
      </c>
      <c r="H317" s="433">
        <v>799644.49</v>
      </c>
      <c r="I317" s="435">
        <v>321452.08</v>
      </c>
      <c r="J317" s="435">
        <v>164909.49</v>
      </c>
      <c r="K317" s="435">
        <v>7292.13</v>
      </c>
      <c r="L317" s="435">
        <v>0</v>
      </c>
      <c r="M317" s="436">
        <v>0</v>
      </c>
      <c r="N317" s="431">
        <f t="shared" si="36"/>
        <v>4878158.08</v>
      </c>
      <c r="O317" s="6">
        <f>SUM(N316:N317)</f>
        <v>6498095.05</v>
      </c>
      <c r="S317" s="7"/>
      <c r="T317" s="7"/>
      <c r="U317" s="7"/>
      <c r="V317" s="7"/>
      <c r="W317" s="7"/>
      <c r="X317" s="7"/>
      <c r="Y317" s="6"/>
    </row>
    <row r="318" spans="1:25" ht="12.75">
      <c r="A318" s="500" t="s">
        <v>150</v>
      </c>
      <c r="B318" s="438" t="s">
        <v>7</v>
      </c>
      <c r="C318" s="439">
        <v>1407381.4100000001</v>
      </c>
      <c r="D318" s="439">
        <v>0</v>
      </c>
      <c r="E318" s="440">
        <v>0</v>
      </c>
      <c r="F318" s="439">
        <v>247887.8</v>
      </c>
      <c r="G318" s="439">
        <v>39492.44</v>
      </c>
      <c r="H318" s="439">
        <v>0</v>
      </c>
      <c r="I318" s="441">
        <v>3099.75</v>
      </c>
      <c r="J318" s="441">
        <v>0</v>
      </c>
      <c r="K318" s="441">
        <v>0</v>
      </c>
      <c r="L318" s="441">
        <v>0</v>
      </c>
      <c r="M318" s="442">
        <v>0</v>
      </c>
      <c r="N318" s="443">
        <f t="shared" si="36"/>
        <v>1697861.4000000001</v>
      </c>
      <c r="O318" s="6"/>
      <c r="S318" s="7"/>
      <c r="T318" s="7"/>
      <c r="U318" s="7"/>
      <c r="V318" s="7"/>
      <c r="W318" s="7"/>
      <c r="X318" s="7"/>
      <c r="Y318" s="6"/>
    </row>
    <row r="319" spans="1:25" ht="13.5" thickBot="1">
      <c r="A319" s="501"/>
      <c r="B319" s="444" t="s">
        <v>8</v>
      </c>
      <c r="C319" s="445">
        <v>2652667.3800000004</v>
      </c>
      <c r="D319" s="445">
        <v>319399.11000000004</v>
      </c>
      <c r="E319" s="446">
        <v>519795.05000000005</v>
      </c>
      <c r="F319" s="445">
        <v>257869.68</v>
      </c>
      <c r="G319" s="445">
        <v>226449.73</v>
      </c>
      <c r="H319" s="445">
        <v>785547.35</v>
      </c>
      <c r="I319" s="447">
        <v>367137.21</v>
      </c>
      <c r="J319" s="447">
        <v>147882.23</v>
      </c>
      <c r="K319" s="447">
        <v>4720.62</v>
      </c>
      <c r="L319" s="447">
        <v>0</v>
      </c>
      <c r="M319" s="448">
        <v>0</v>
      </c>
      <c r="N319" s="443">
        <f t="shared" si="36"/>
        <v>5281468.36</v>
      </c>
      <c r="O319" s="6">
        <f>SUM(N318:N319)</f>
        <v>6979329.760000001</v>
      </c>
      <c r="S319" s="7"/>
      <c r="T319" s="7"/>
      <c r="U319" s="7"/>
      <c r="V319" s="7"/>
      <c r="W319" s="7"/>
      <c r="X319" s="7"/>
      <c r="Y319" s="6"/>
    </row>
    <row r="320" spans="1:25" ht="12.75">
      <c r="A320" s="508" t="s">
        <v>161</v>
      </c>
      <c r="B320" s="449" t="s">
        <v>7</v>
      </c>
      <c r="C320" s="450">
        <v>1220991.94</v>
      </c>
      <c r="D320" s="450">
        <v>0</v>
      </c>
      <c r="E320" s="451">
        <v>0</v>
      </c>
      <c r="F320" s="450">
        <v>65697.49</v>
      </c>
      <c r="G320" s="450">
        <v>75252.82</v>
      </c>
      <c r="H320" s="450">
        <v>0</v>
      </c>
      <c r="I320" s="452">
        <v>3798.18</v>
      </c>
      <c r="J320" s="452">
        <v>0</v>
      </c>
      <c r="K320" s="452">
        <v>0</v>
      </c>
      <c r="L320" s="452">
        <v>0</v>
      </c>
      <c r="M320" s="453">
        <v>0</v>
      </c>
      <c r="N320" s="454">
        <f aca="true" t="shared" si="37" ref="N320:N325">SUM(C320:M320)</f>
        <v>1365740.43</v>
      </c>
      <c r="O320" s="6"/>
      <c r="S320" s="7"/>
      <c r="T320" s="7"/>
      <c r="U320" s="7"/>
      <c r="V320" s="7"/>
      <c r="W320" s="7"/>
      <c r="X320" s="7"/>
      <c r="Y320" s="6"/>
    </row>
    <row r="321" spans="1:25" ht="13.5" thickBot="1">
      <c r="A321" s="509"/>
      <c r="B321" s="455" t="s">
        <v>8</v>
      </c>
      <c r="C321" s="456">
        <v>2724675.5</v>
      </c>
      <c r="D321" s="456">
        <v>334574.33</v>
      </c>
      <c r="E321" s="457">
        <v>550244.83</v>
      </c>
      <c r="F321" s="456">
        <v>274540.06</v>
      </c>
      <c r="G321" s="456">
        <v>231186.09</v>
      </c>
      <c r="H321" s="456">
        <v>820530.3</v>
      </c>
      <c r="I321" s="458">
        <v>443631.48</v>
      </c>
      <c r="J321" s="458">
        <v>116909.28</v>
      </c>
      <c r="K321" s="458">
        <v>5032.89</v>
      </c>
      <c r="L321" s="458">
        <v>0</v>
      </c>
      <c r="M321" s="459">
        <v>0</v>
      </c>
      <c r="N321" s="454">
        <f t="shared" si="37"/>
        <v>5501324.76</v>
      </c>
      <c r="O321" s="6">
        <f>SUM(N320:N321)</f>
        <v>6867065.1899999995</v>
      </c>
      <c r="S321" s="7"/>
      <c r="T321" s="7"/>
      <c r="U321" s="7"/>
      <c r="V321" s="7"/>
      <c r="W321" s="7"/>
      <c r="X321" s="7"/>
      <c r="Y321" s="6"/>
    </row>
    <row r="322" spans="1:25" ht="12.75">
      <c r="A322" s="498" t="s">
        <v>176</v>
      </c>
      <c r="B322" s="462" t="s">
        <v>7</v>
      </c>
      <c r="C322" s="463">
        <v>986638.1699999993</v>
      </c>
      <c r="D322" s="463">
        <v>0</v>
      </c>
      <c r="E322" s="464">
        <v>0</v>
      </c>
      <c r="F322" s="463">
        <v>56604.47</v>
      </c>
      <c r="G322" s="463">
        <v>59488.86</v>
      </c>
      <c r="H322" s="463">
        <v>0</v>
      </c>
      <c r="I322" s="465">
        <v>2275.63</v>
      </c>
      <c r="J322" s="465">
        <v>0</v>
      </c>
      <c r="K322" s="465">
        <v>0</v>
      </c>
      <c r="L322" s="465">
        <v>0</v>
      </c>
      <c r="M322" s="466">
        <v>0</v>
      </c>
      <c r="N322" s="467">
        <f t="shared" si="37"/>
        <v>1105007.1299999992</v>
      </c>
      <c r="O322" s="6"/>
      <c r="S322" s="7"/>
      <c r="T322" s="7"/>
      <c r="U322" s="7"/>
      <c r="V322" s="7"/>
      <c r="W322" s="7"/>
      <c r="X322" s="7"/>
      <c r="Y322" s="6"/>
    </row>
    <row r="323" spans="1:25" ht="13.5" thickBot="1">
      <c r="A323" s="499"/>
      <c r="B323" s="468" t="s">
        <v>8</v>
      </c>
      <c r="C323" s="469">
        <v>2955724.719999986</v>
      </c>
      <c r="D323" s="469">
        <v>421120.86</v>
      </c>
      <c r="E323" s="470">
        <v>608198.87</v>
      </c>
      <c r="F323" s="469">
        <v>248647.29</v>
      </c>
      <c r="G323" s="469">
        <v>206294.04</v>
      </c>
      <c r="H323" s="469">
        <v>1211122.26</v>
      </c>
      <c r="I323" s="471">
        <v>563060.44</v>
      </c>
      <c r="J323" s="471">
        <v>0</v>
      </c>
      <c r="K323" s="471">
        <v>4717.5</v>
      </c>
      <c r="L323" s="471">
        <v>0</v>
      </c>
      <c r="M323" s="472">
        <v>0</v>
      </c>
      <c r="N323" s="467">
        <f t="shared" si="37"/>
        <v>6218885.979999986</v>
      </c>
      <c r="O323" s="6">
        <f>SUM(N322:N323)</f>
        <v>7323893.1099999845</v>
      </c>
      <c r="S323" s="7"/>
      <c r="T323" s="7"/>
      <c r="U323" s="7"/>
      <c r="V323" s="7"/>
      <c r="W323" s="7"/>
      <c r="X323" s="7"/>
      <c r="Y323" s="6"/>
    </row>
    <row r="324" spans="1:25" ht="12.75">
      <c r="A324" s="493" t="s">
        <v>190</v>
      </c>
      <c r="B324" s="473" t="s">
        <v>7</v>
      </c>
      <c r="C324" s="474">
        <v>2673.06</v>
      </c>
      <c r="D324" s="474">
        <v>0</v>
      </c>
      <c r="E324" s="474">
        <v>0</v>
      </c>
      <c r="F324" s="474">
        <v>0.2</v>
      </c>
      <c r="G324" s="474">
        <v>0</v>
      </c>
      <c r="H324" s="474">
        <v>0</v>
      </c>
      <c r="I324" s="475">
        <v>0</v>
      </c>
      <c r="J324" s="475">
        <v>0</v>
      </c>
      <c r="K324" s="475">
        <v>0</v>
      </c>
      <c r="L324" s="475">
        <v>0</v>
      </c>
      <c r="M324" s="476">
        <v>0</v>
      </c>
      <c r="N324" s="477">
        <f t="shared" si="37"/>
        <v>2673.2599999999998</v>
      </c>
      <c r="O324" s="6"/>
      <c r="S324" s="7"/>
      <c r="T324" s="7"/>
      <c r="U324" s="7"/>
      <c r="V324" s="7"/>
      <c r="W324" s="7"/>
      <c r="X324" s="7"/>
      <c r="Y324" s="6"/>
    </row>
    <row r="325" spans="1:25" ht="13.5" thickBot="1">
      <c r="A325" s="494"/>
      <c r="B325" s="478" t="s">
        <v>8</v>
      </c>
      <c r="C325" s="479">
        <v>1282838.86</v>
      </c>
      <c r="D325" s="479">
        <v>162894.46</v>
      </c>
      <c r="E325" s="480">
        <v>153774.92</v>
      </c>
      <c r="F325" s="479">
        <v>54054.13</v>
      </c>
      <c r="G325" s="479">
        <v>34414.31</v>
      </c>
      <c r="H325" s="479">
        <v>614869.17</v>
      </c>
      <c r="I325" s="481">
        <v>156412.57</v>
      </c>
      <c r="J325" s="481">
        <v>0</v>
      </c>
      <c r="K325" s="481">
        <v>2294.56</v>
      </c>
      <c r="L325" s="481">
        <v>0</v>
      </c>
      <c r="M325" s="482">
        <v>0</v>
      </c>
      <c r="N325" s="477">
        <f t="shared" si="37"/>
        <v>2461552.98</v>
      </c>
      <c r="O325" s="6">
        <f>SUM(N324:N325)</f>
        <v>2464226.2399999998</v>
      </c>
      <c r="S325" s="7"/>
      <c r="T325" s="7"/>
      <c r="U325" s="7"/>
      <c r="V325" s="7"/>
      <c r="W325" s="7"/>
      <c r="X325" s="7"/>
      <c r="Y325" s="6"/>
    </row>
    <row r="326" spans="1:25" ht="12.75">
      <c r="A326" s="538" t="s">
        <v>204</v>
      </c>
      <c r="B326" s="483" t="s">
        <v>7</v>
      </c>
      <c r="C326" s="484"/>
      <c r="D326" s="484">
        <v>0</v>
      </c>
      <c r="E326" s="484">
        <v>0</v>
      </c>
      <c r="F326" s="484"/>
      <c r="G326" s="484">
        <v>0</v>
      </c>
      <c r="H326" s="484">
        <v>0</v>
      </c>
      <c r="I326" s="485">
        <v>0</v>
      </c>
      <c r="J326" s="485">
        <v>0</v>
      </c>
      <c r="K326" s="485">
        <v>0</v>
      </c>
      <c r="L326" s="485">
        <v>0</v>
      </c>
      <c r="M326" s="486">
        <v>0</v>
      </c>
      <c r="N326" s="487">
        <f>SUM(C326:M326)</f>
        <v>0</v>
      </c>
      <c r="O326" s="6"/>
      <c r="S326" s="7"/>
      <c r="T326" s="7"/>
      <c r="U326" s="7"/>
      <c r="V326" s="7"/>
      <c r="W326" s="7"/>
      <c r="X326" s="7"/>
      <c r="Y326" s="6"/>
    </row>
    <row r="327" spans="1:25" ht="13.5" thickBot="1">
      <c r="A327" s="539"/>
      <c r="B327" s="488" t="s">
        <v>8</v>
      </c>
      <c r="C327" s="489"/>
      <c r="D327" s="489"/>
      <c r="E327" s="490"/>
      <c r="F327" s="489"/>
      <c r="G327" s="489"/>
      <c r="H327" s="489"/>
      <c r="I327" s="491"/>
      <c r="J327" s="491">
        <v>0</v>
      </c>
      <c r="K327" s="491"/>
      <c r="L327" s="491">
        <v>0</v>
      </c>
      <c r="M327" s="492">
        <v>0</v>
      </c>
      <c r="N327" s="487">
        <f>SUM(C327:M327)</f>
        <v>0</v>
      </c>
      <c r="O327" s="6">
        <f>SUM(N326:N327)</f>
        <v>0</v>
      </c>
      <c r="S327" s="7"/>
      <c r="T327" s="7"/>
      <c r="U327" s="7"/>
      <c r="V327" s="7"/>
      <c r="W327" s="7"/>
      <c r="X327" s="7"/>
      <c r="Y327" s="6"/>
    </row>
    <row r="328" spans="1:14" ht="12.75">
      <c r="A328" s="504">
        <v>36373</v>
      </c>
      <c r="B328" s="34" t="s">
        <v>7</v>
      </c>
      <c r="C328" s="87">
        <v>1425252.19</v>
      </c>
      <c r="D328" s="87">
        <v>102595.25</v>
      </c>
      <c r="E328" s="87">
        <v>16633</v>
      </c>
      <c r="F328" s="87">
        <v>4259044</v>
      </c>
      <c r="G328" s="87"/>
      <c r="H328" s="87"/>
      <c r="I328" s="107">
        <v>2479.41</v>
      </c>
      <c r="J328" s="107"/>
      <c r="K328" s="107"/>
      <c r="L328" s="107"/>
      <c r="M328" s="35">
        <v>107812.48</v>
      </c>
      <c r="N328" s="5">
        <f t="shared" si="35"/>
        <v>5913816.33</v>
      </c>
    </row>
    <row r="329" spans="1:15" ht="12.75">
      <c r="A329" s="505"/>
      <c r="B329" s="36" t="s">
        <v>8</v>
      </c>
      <c r="C329" s="88">
        <v>74734.34</v>
      </c>
      <c r="D329" s="88">
        <v>0</v>
      </c>
      <c r="E329" s="88">
        <v>31.94</v>
      </c>
      <c r="F329" s="88">
        <v>69149.05</v>
      </c>
      <c r="G329" s="88"/>
      <c r="H329" s="88"/>
      <c r="I329" s="108">
        <v>-477.03</v>
      </c>
      <c r="J329" s="108"/>
      <c r="K329" s="108"/>
      <c r="L329" s="108"/>
      <c r="M329" s="37">
        <v>0</v>
      </c>
      <c r="N329" s="5">
        <f t="shared" si="35"/>
        <v>143438.30000000002</v>
      </c>
      <c r="O329" s="6">
        <f>SUM(N328:N329)</f>
        <v>6057254.63</v>
      </c>
    </row>
    <row r="330" spans="1:14" ht="12.75">
      <c r="A330" s="529">
        <v>36739</v>
      </c>
      <c r="B330" s="38" t="s">
        <v>7</v>
      </c>
      <c r="C330" s="89">
        <f>'[1]2000'!C22</f>
        <v>1616944.16</v>
      </c>
      <c r="D330" s="89">
        <f>'[1]2000'!D22</f>
        <v>82295.62</v>
      </c>
      <c r="E330" s="89">
        <f>'[1]2000'!E22</f>
        <v>18537.59</v>
      </c>
      <c r="F330" s="89">
        <f>'[1]2000'!F22</f>
        <v>4937309</v>
      </c>
      <c r="G330" s="89"/>
      <c r="H330" s="89"/>
      <c r="I330" s="109">
        <f>'[1]2000'!G22</f>
        <v>143358.16</v>
      </c>
      <c r="J330" s="109"/>
      <c r="K330" s="109"/>
      <c r="L330" s="109"/>
      <c r="M330" s="39">
        <f>'[1]2000'!H22</f>
        <v>80023</v>
      </c>
      <c r="N330" s="8">
        <f t="shared" si="35"/>
        <v>6878467.53</v>
      </c>
    </row>
    <row r="331" spans="1:15" ht="12.75">
      <c r="A331" s="530"/>
      <c r="B331" s="40" t="s">
        <v>8</v>
      </c>
      <c r="C331" s="82">
        <f>'[1]2000'!C23</f>
        <v>85102.32</v>
      </c>
      <c r="D331" s="82">
        <f>'[1]2000'!D23</f>
        <v>0</v>
      </c>
      <c r="E331" s="82">
        <f>'[1]2000'!E23</f>
        <v>4668.3</v>
      </c>
      <c r="F331" s="82">
        <f>'[1]2000'!F23</f>
        <v>95790.47</v>
      </c>
      <c r="G331" s="82"/>
      <c r="H331" s="82"/>
      <c r="I331" s="104">
        <f>'[1]2000'!G23</f>
        <v>51127.47</v>
      </c>
      <c r="J331" s="104"/>
      <c r="K331" s="104"/>
      <c r="L331" s="104"/>
      <c r="M331" s="41">
        <f>'[1]2000'!H23</f>
        <v>39.99</v>
      </c>
      <c r="N331" s="8">
        <f t="shared" si="35"/>
        <v>236728.55000000002</v>
      </c>
      <c r="O331" s="6">
        <f>SUM(N330:N331)</f>
        <v>7115196.08</v>
      </c>
    </row>
    <row r="332" spans="1:14" ht="12.75">
      <c r="A332" s="497">
        <f>A330+366</f>
        <v>37105</v>
      </c>
      <c r="B332" s="26" t="s">
        <v>7</v>
      </c>
      <c r="C332" s="83">
        <v>1730962.14</v>
      </c>
      <c r="D332" s="83">
        <v>70400.23</v>
      </c>
      <c r="E332" s="83">
        <v>7715</v>
      </c>
      <c r="F332" s="83">
        <v>6174365</v>
      </c>
      <c r="G332" s="83"/>
      <c r="H332" s="83"/>
      <c r="I332" s="105">
        <v>16176.21</v>
      </c>
      <c r="J332" s="105"/>
      <c r="K332" s="105"/>
      <c r="L332" s="105"/>
      <c r="M332" s="27">
        <v>90039.71</v>
      </c>
      <c r="N332" s="9">
        <f t="shared" si="35"/>
        <v>8089658.29</v>
      </c>
    </row>
    <row r="333" spans="1:15" ht="12.75">
      <c r="A333" s="497"/>
      <c r="B333" s="28" t="s">
        <v>8</v>
      </c>
      <c r="C333" s="84">
        <v>91103.27</v>
      </c>
      <c r="D333" s="84">
        <v>33244.03</v>
      </c>
      <c r="E333" s="84">
        <v>61.98</v>
      </c>
      <c r="F333" s="84">
        <v>137818.35</v>
      </c>
      <c r="G333" s="84"/>
      <c r="H333" s="84"/>
      <c r="I333" s="20">
        <v>131861.05</v>
      </c>
      <c r="J333" s="20"/>
      <c r="K333" s="20"/>
      <c r="L333" s="20"/>
      <c r="M333" s="29">
        <v>5748.72</v>
      </c>
      <c r="N333" s="9">
        <f t="shared" si="35"/>
        <v>399837.39999999997</v>
      </c>
      <c r="O333" s="6">
        <f>SUM(N332:N333)</f>
        <v>8489495.69</v>
      </c>
    </row>
    <row r="334" spans="1:15" ht="12.75">
      <c r="A334" s="534">
        <v>37469</v>
      </c>
      <c r="B334" s="30" t="s">
        <v>7</v>
      </c>
      <c r="C334" s="85">
        <v>1128112.88</v>
      </c>
      <c r="D334" s="85">
        <v>110993.77</v>
      </c>
      <c r="E334" s="85">
        <v>0</v>
      </c>
      <c r="F334" s="85">
        <v>4884582.54</v>
      </c>
      <c r="G334" s="85"/>
      <c r="H334" s="85"/>
      <c r="I334" s="106">
        <v>101327</v>
      </c>
      <c r="J334" s="106"/>
      <c r="K334" s="106"/>
      <c r="L334" s="106"/>
      <c r="M334" s="31">
        <v>27022.34</v>
      </c>
      <c r="N334" s="19">
        <f t="shared" si="35"/>
        <v>6252038.529999999</v>
      </c>
      <c r="O334" s="6"/>
    </row>
    <row r="335" spans="1:15" ht="12.75">
      <c r="A335" s="534"/>
      <c r="B335" s="32" t="s">
        <v>8</v>
      </c>
      <c r="C335" s="86">
        <v>62186.7</v>
      </c>
      <c r="D335" s="86">
        <v>81772.93</v>
      </c>
      <c r="E335" s="86">
        <v>17558.77</v>
      </c>
      <c r="F335" s="86">
        <v>86545.67</v>
      </c>
      <c r="G335" s="86"/>
      <c r="H335" s="86">
        <v>5042.95</v>
      </c>
      <c r="I335" s="22">
        <v>170942.16</v>
      </c>
      <c r="J335" s="22"/>
      <c r="K335" s="22"/>
      <c r="L335" s="22"/>
      <c r="M335" s="33">
        <v>14789.26</v>
      </c>
      <c r="N335" s="19">
        <f t="shared" si="35"/>
        <v>438838.44000000006</v>
      </c>
      <c r="O335" s="6">
        <f>SUM(N334:N335)</f>
        <v>6690876.97</v>
      </c>
    </row>
    <row r="336" spans="1:15" ht="12.75">
      <c r="A336" s="519">
        <v>37834</v>
      </c>
      <c r="B336" s="115" t="s">
        <v>7</v>
      </c>
      <c r="C336" s="116">
        <v>1213575.31</v>
      </c>
      <c r="D336" s="116">
        <v>138236.43</v>
      </c>
      <c r="E336" s="116">
        <v>0</v>
      </c>
      <c r="F336" s="116">
        <f>124678.75+5490736.87</f>
        <v>5615415.62</v>
      </c>
      <c r="G336" s="116"/>
      <c r="H336" s="116"/>
      <c r="I336" s="117">
        <v>9307.35</v>
      </c>
      <c r="J336" s="117"/>
      <c r="K336" s="117"/>
      <c r="L336" s="117"/>
      <c r="M336" s="118">
        <v>54447.8</v>
      </c>
      <c r="N336" s="113">
        <f t="shared" si="35"/>
        <v>7030982.51</v>
      </c>
      <c r="O336" s="6"/>
    </row>
    <row r="337" spans="1:15" ht="13.5" thickBot="1">
      <c r="A337" s="520"/>
      <c r="B337" s="119" t="s">
        <v>8</v>
      </c>
      <c r="C337" s="120">
        <v>153053.99</v>
      </c>
      <c r="D337" s="120">
        <v>126815.71</v>
      </c>
      <c r="E337" s="120">
        <v>99930.21</v>
      </c>
      <c r="F337" s="120">
        <f>174015.71</f>
        <v>174015.71</v>
      </c>
      <c r="G337" s="120"/>
      <c r="H337" s="120">
        <v>9055.15</v>
      </c>
      <c r="I337" s="121">
        <v>241846.04</v>
      </c>
      <c r="J337" s="121"/>
      <c r="K337" s="121"/>
      <c r="L337" s="121"/>
      <c r="M337" s="67">
        <v>16948.07</v>
      </c>
      <c r="N337" s="113">
        <f t="shared" si="35"/>
        <v>821664.88</v>
      </c>
      <c r="O337" s="6">
        <f>SUM(N336:N337)</f>
        <v>7852647.39</v>
      </c>
    </row>
    <row r="338" spans="1:15" ht="12.75">
      <c r="A338" s="523">
        <v>38200</v>
      </c>
      <c r="B338" s="214" t="s">
        <v>7</v>
      </c>
      <c r="C338" s="215">
        <v>1617904.04</v>
      </c>
      <c r="D338" s="215">
        <v>158784.27</v>
      </c>
      <c r="E338" s="215"/>
      <c r="F338" s="215">
        <f>5402486.35+122275.43</f>
        <v>5524761.779999999</v>
      </c>
      <c r="G338" s="215"/>
      <c r="H338" s="215"/>
      <c r="I338" s="216">
        <v>181856.17</v>
      </c>
      <c r="J338" s="216"/>
      <c r="K338" s="216"/>
      <c r="L338" s="216"/>
      <c r="M338" s="217">
        <v>126589.02</v>
      </c>
      <c r="N338" s="218">
        <f t="shared" si="35"/>
        <v>7609895.279999999</v>
      </c>
      <c r="O338" s="6"/>
    </row>
    <row r="339" spans="1:15" ht="13.5" thickBot="1">
      <c r="A339" s="524"/>
      <c r="B339" s="223" t="s">
        <v>8</v>
      </c>
      <c r="C339" s="224">
        <v>363557.09</v>
      </c>
      <c r="D339" s="224">
        <v>218569.84</v>
      </c>
      <c r="E339" s="225">
        <v>50881.97</v>
      </c>
      <c r="F339" s="224">
        <f>215575.94</f>
        <v>215575.94</v>
      </c>
      <c r="G339" s="224"/>
      <c r="H339" s="224">
        <v>101115.3</v>
      </c>
      <c r="I339" s="226">
        <v>220554.25</v>
      </c>
      <c r="J339" s="226"/>
      <c r="K339" s="226"/>
      <c r="L339" s="226">
        <v>67965</v>
      </c>
      <c r="M339" s="227">
        <v>2828.8</v>
      </c>
      <c r="N339" s="218">
        <f t="shared" si="35"/>
        <v>1241048.1900000002</v>
      </c>
      <c r="O339" s="6">
        <f>SUM(N338:N339)</f>
        <v>8850943.469999999</v>
      </c>
    </row>
    <row r="340" spans="1:15" ht="12.75">
      <c r="A340" s="517">
        <v>38565</v>
      </c>
      <c r="B340" s="274" t="s">
        <v>7</v>
      </c>
      <c r="C340" s="275">
        <v>1590345.4</v>
      </c>
      <c r="D340" s="275">
        <v>187618.65</v>
      </c>
      <c r="E340" s="275"/>
      <c r="F340" s="275">
        <f>32810.6+5055037.89</f>
        <v>5087848.489999999</v>
      </c>
      <c r="G340" s="275">
        <v>2364</v>
      </c>
      <c r="H340" s="275"/>
      <c r="I340" s="276">
        <v>194425.2</v>
      </c>
      <c r="J340" s="276"/>
      <c r="K340" s="276"/>
      <c r="L340" s="276"/>
      <c r="M340" s="277">
        <v>80505.49</v>
      </c>
      <c r="N340" s="273">
        <f aca="true" t="shared" si="38" ref="N340:N345">SUM(C340:M340)</f>
        <v>7143107.2299999995</v>
      </c>
      <c r="O340" s="6"/>
    </row>
    <row r="341" spans="1:15" ht="13.5" thickBot="1">
      <c r="A341" s="518"/>
      <c r="B341" s="282" t="s">
        <v>8</v>
      </c>
      <c r="C341" s="283">
        <v>769986.05</v>
      </c>
      <c r="D341" s="283">
        <v>137045.13</v>
      </c>
      <c r="E341" s="284">
        <f>71213.99+3395.53-3395.53</f>
        <v>71213.99</v>
      </c>
      <c r="F341" s="283">
        <f>249097.4</f>
        <v>249097.4</v>
      </c>
      <c r="G341" s="283">
        <v>58335.13</v>
      </c>
      <c r="H341" s="283">
        <v>148459.22</v>
      </c>
      <c r="I341" s="285">
        <v>168305.45</v>
      </c>
      <c r="J341" s="285"/>
      <c r="K341" s="285"/>
      <c r="L341" s="285">
        <v>44342</v>
      </c>
      <c r="M341" s="286">
        <v>12827.95</v>
      </c>
      <c r="N341" s="273">
        <f t="shared" si="38"/>
        <v>1659612.3199999998</v>
      </c>
      <c r="O341" s="6">
        <f>SUM(N340:N341)</f>
        <v>8802719.549999999</v>
      </c>
    </row>
    <row r="342" spans="1:15" ht="12.75">
      <c r="A342" s="527">
        <v>38930</v>
      </c>
      <c r="B342" s="289" t="s">
        <v>7</v>
      </c>
      <c r="C342" s="290">
        <v>1759136.62</v>
      </c>
      <c r="D342" s="290">
        <v>0</v>
      </c>
      <c r="E342" s="290"/>
      <c r="F342" s="290">
        <f>4370381.98+41457.84</f>
        <v>4411839.82</v>
      </c>
      <c r="G342" s="290">
        <v>314.44</v>
      </c>
      <c r="H342" s="290"/>
      <c r="I342" s="291">
        <v>95400.46</v>
      </c>
      <c r="J342" s="291"/>
      <c r="K342" s="291"/>
      <c r="L342" s="291"/>
      <c r="M342" s="292">
        <v>94583.53</v>
      </c>
      <c r="N342" s="293">
        <f t="shared" si="38"/>
        <v>6361274.870000001</v>
      </c>
      <c r="O342" s="6"/>
    </row>
    <row r="343" spans="1:15" ht="13.5" thickBot="1">
      <c r="A343" s="528"/>
      <c r="B343" s="299" t="s">
        <v>8</v>
      </c>
      <c r="C343" s="300">
        <v>372101.41</v>
      </c>
      <c r="D343" s="300">
        <v>384858.99</v>
      </c>
      <c r="E343" s="301">
        <v>171719.72</v>
      </c>
      <c r="F343" s="300">
        <f>302043.95</f>
        <v>302043.95</v>
      </c>
      <c r="G343" s="300">
        <v>131101.92</v>
      </c>
      <c r="H343" s="300">
        <v>138115</v>
      </c>
      <c r="I343" s="302">
        <v>142021.69</v>
      </c>
      <c r="J343" s="302"/>
      <c r="K343" s="302"/>
      <c r="L343" s="302">
        <v>0</v>
      </c>
      <c r="M343" s="303">
        <v>10391.02</v>
      </c>
      <c r="N343" s="293">
        <f t="shared" si="38"/>
        <v>1652353.6999999997</v>
      </c>
      <c r="O343" s="6">
        <f>SUM(N342:N343)</f>
        <v>8013628.57</v>
      </c>
    </row>
    <row r="344" spans="1:15" ht="12.75">
      <c r="A344" s="502" t="s">
        <v>46</v>
      </c>
      <c r="B344" s="305" t="s">
        <v>7</v>
      </c>
      <c r="C344" s="306">
        <f>1923681.84</f>
        <v>1923681.84</v>
      </c>
      <c r="D344" s="306">
        <f>282549.24</f>
        <v>282549.24</v>
      </c>
      <c r="E344" s="306">
        <v>0</v>
      </c>
      <c r="F344" s="306">
        <f>4792577.15+12471.52</f>
        <v>4805048.67</v>
      </c>
      <c r="G344" s="306">
        <f>982.19</f>
        <v>982.19</v>
      </c>
      <c r="H344" s="306">
        <v>0</v>
      </c>
      <c r="I344" s="307">
        <v>107215.54</v>
      </c>
      <c r="J344" s="307"/>
      <c r="K344" s="307"/>
      <c r="L344" s="307">
        <v>0</v>
      </c>
      <c r="M344" s="308">
        <f>79294.27</f>
        <v>79294.27</v>
      </c>
      <c r="N344" s="304">
        <f t="shared" si="38"/>
        <v>7198771.75</v>
      </c>
      <c r="O344" s="6"/>
    </row>
    <row r="345" spans="1:15" ht="13.5" thickBot="1">
      <c r="A345" s="503"/>
      <c r="B345" s="313" t="s">
        <v>8</v>
      </c>
      <c r="C345" s="309">
        <f>579332.96-28966.65</f>
        <v>550366.3099999999</v>
      </c>
      <c r="D345" s="309">
        <f>154667</f>
        <v>154667</v>
      </c>
      <c r="E345" s="310">
        <f>215385.35</f>
        <v>215385.35</v>
      </c>
      <c r="F345" s="309">
        <f>215537.14</f>
        <v>215537.14</v>
      </c>
      <c r="G345" s="309">
        <f>126359.08</f>
        <v>126359.08</v>
      </c>
      <c r="H345" s="309">
        <v>188597.1</v>
      </c>
      <c r="I345" s="311">
        <f>88353.37</f>
        <v>88353.37</v>
      </c>
      <c r="J345" s="311"/>
      <c r="K345" s="311"/>
      <c r="L345" s="311">
        <v>0</v>
      </c>
      <c r="M345" s="312">
        <f>6260.46</f>
        <v>6260.46</v>
      </c>
      <c r="N345" s="304">
        <f t="shared" si="38"/>
        <v>1545525.81</v>
      </c>
      <c r="O345" s="6">
        <f>SUM(N344:N345)</f>
        <v>8744297.56</v>
      </c>
    </row>
    <row r="346" spans="1:25" ht="12.75">
      <c r="A346" s="511" t="s">
        <v>60</v>
      </c>
      <c r="B346" s="318" t="s">
        <v>7</v>
      </c>
      <c r="C346" s="319">
        <v>2065501.98</v>
      </c>
      <c r="D346" s="319">
        <f>14.25</f>
        <v>14.25</v>
      </c>
      <c r="E346" s="319">
        <v>0</v>
      </c>
      <c r="F346" s="319">
        <f>14387.59+4599588.15</f>
        <v>4613975.74</v>
      </c>
      <c r="G346" s="319">
        <v>46688.9</v>
      </c>
      <c r="H346" s="319">
        <v>0</v>
      </c>
      <c r="I346" s="320">
        <v>72021.86</v>
      </c>
      <c r="J346" s="320"/>
      <c r="K346" s="320"/>
      <c r="L346" s="320">
        <v>0</v>
      </c>
      <c r="M346" s="321">
        <v>20876.71</v>
      </c>
      <c r="N346" s="322">
        <f>SUM(B346:M346)</f>
        <v>6819079.440000001</v>
      </c>
      <c r="O346" s="6"/>
      <c r="S346" s="7"/>
      <c r="T346" s="7"/>
      <c r="U346" s="7"/>
      <c r="V346" s="7"/>
      <c r="W346" s="7"/>
      <c r="X346" s="7"/>
      <c r="Y346" s="6"/>
    </row>
    <row r="347" spans="1:25" ht="13.5" thickBot="1">
      <c r="A347" s="512"/>
      <c r="B347" s="323" t="s">
        <v>8</v>
      </c>
      <c r="C347" s="324">
        <v>525992.19</v>
      </c>
      <c r="D347" s="324">
        <f>370256.98</f>
        <v>370256.98</v>
      </c>
      <c r="E347" s="325">
        <v>265017.59</v>
      </c>
      <c r="F347" s="324">
        <v>157401.33</v>
      </c>
      <c r="G347" s="324">
        <v>157787.17</v>
      </c>
      <c r="H347" s="324">
        <v>203001.1</v>
      </c>
      <c r="I347" s="326">
        <v>118411.51</v>
      </c>
      <c r="J347" s="326"/>
      <c r="K347" s="326"/>
      <c r="L347" s="326">
        <v>0</v>
      </c>
      <c r="M347" s="327">
        <v>602.06</v>
      </c>
      <c r="N347" s="322">
        <f>SUM(B347:M347)</f>
        <v>1798469.9300000002</v>
      </c>
      <c r="O347" s="6">
        <f>SUM(N346:N347)</f>
        <v>8617549.370000001</v>
      </c>
      <c r="S347" s="7"/>
      <c r="T347" s="7"/>
      <c r="U347" s="7"/>
      <c r="V347" s="7"/>
      <c r="W347" s="7"/>
      <c r="X347" s="7"/>
      <c r="Y347" s="6"/>
    </row>
    <row r="348" spans="1:25" ht="12.75">
      <c r="A348" s="532" t="s">
        <v>75</v>
      </c>
      <c r="B348" s="333" t="s">
        <v>7</v>
      </c>
      <c r="C348" s="334">
        <v>1835414.35</v>
      </c>
      <c r="D348" s="334">
        <v>0</v>
      </c>
      <c r="E348" s="334">
        <v>0</v>
      </c>
      <c r="F348" s="334">
        <f>1250216.84+22011.78</f>
        <v>1272228.62</v>
      </c>
      <c r="G348" s="334">
        <v>107025.18</v>
      </c>
      <c r="H348" s="334">
        <v>0</v>
      </c>
      <c r="I348" s="335">
        <v>31958.74</v>
      </c>
      <c r="J348" s="335"/>
      <c r="K348" s="335">
        <v>0</v>
      </c>
      <c r="L348" s="335">
        <v>0</v>
      </c>
      <c r="M348" s="336">
        <v>0</v>
      </c>
      <c r="N348" s="337">
        <f>SUM(B348:M348)</f>
        <v>3246626.8900000006</v>
      </c>
      <c r="O348" s="6"/>
      <c r="S348" s="7"/>
      <c r="T348" s="7"/>
      <c r="U348" s="7"/>
      <c r="V348" s="7"/>
      <c r="W348" s="7"/>
      <c r="X348" s="7"/>
      <c r="Y348" s="6"/>
    </row>
    <row r="349" spans="1:25" ht="13.5" thickBot="1">
      <c r="A349" s="533"/>
      <c r="B349" s="338" t="s">
        <v>8</v>
      </c>
      <c r="C349" s="339">
        <v>711888.09</v>
      </c>
      <c r="D349" s="339">
        <v>172900.99</v>
      </c>
      <c r="E349" s="340">
        <v>332044.6</v>
      </c>
      <c r="F349" s="339">
        <v>137259.02</v>
      </c>
      <c r="G349" s="339">
        <v>112570.13</v>
      </c>
      <c r="H349" s="339">
        <v>232787.17</v>
      </c>
      <c r="I349" s="341">
        <v>138448.49</v>
      </c>
      <c r="J349" s="341"/>
      <c r="K349" s="341">
        <v>2717.43</v>
      </c>
      <c r="L349" s="341">
        <v>0</v>
      </c>
      <c r="M349" s="342">
        <v>0</v>
      </c>
      <c r="N349" s="337">
        <f>SUM(B349:M349)</f>
        <v>1840615.92</v>
      </c>
      <c r="O349" s="6">
        <f>SUM(N348:N349)</f>
        <v>5087242.8100000005</v>
      </c>
      <c r="S349" s="7"/>
      <c r="T349" s="7"/>
      <c r="U349" s="7"/>
      <c r="V349" s="7"/>
      <c r="W349" s="7"/>
      <c r="X349" s="7"/>
      <c r="Y349" s="6"/>
    </row>
    <row r="350" spans="1:25" ht="12.75">
      <c r="A350" s="506" t="s">
        <v>89</v>
      </c>
      <c r="B350" s="347" t="s">
        <v>7</v>
      </c>
      <c r="C350" s="348">
        <f>2208443.81</f>
        <v>2208443.81</v>
      </c>
      <c r="D350" s="348">
        <f>305.12</f>
        <v>305.12</v>
      </c>
      <c r="E350" s="348">
        <v>0</v>
      </c>
      <c r="F350" s="348">
        <f>42077.71+908368.24</f>
        <v>950445.95</v>
      </c>
      <c r="G350" s="348">
        <f>207198.63</f>
        <v>207198.63</v>
      </c>
      <c r="H350" s="348">
        <v>0</v>
      </c>
      <c r="I350" s="349">
        <v>53388.18</v>
      </c>
      <c r="J350" s="349"/>
      <c r="K350" s="349">
        <v>0</v>
      </c>
      <c r="L350" s="349">
        <v>0</v>
      </c>
      <c r="M350" s="350">
        <v>0</v>
      </c>
      <c r="N350" s="351">
        <f aca="true" t="shared" si="39" ref="N350:N355">SUM(C350:M350)</f>
        <v>3419781.69</v>
      </c>
      <c r="O350" s="6"/>
      <c r="S350" s="7"/>
      <c r="T350" s="7"/>
      <c r="U350" s="7"/>
      <c r="V350" s="7"/>
      <c r="W350" s="7"/>
      <c r="X350" s="7"/>
      <c r="Y350" s="6"/>
    </row>
    <row r="351" spans="1:25" ht="13.5" thickBot="1">
      <c r="A351" s="507" t="s">
        <v>82</v>
      </c>
      <c r="B351" s="352" t="s">
        <v>8</v>
      </c>
      <c r="C351" s="353">
        <f>777130.43</f>
        <v>777130.43</v>
      </c>
      <c r="D351" s="353">
        <f>125898.43</f>
        <v>125898.43</v>
      </c>
      <c r="E351" s="354">
        <v>297312.5</v>
      </c>
      <c r="F351" s="353">
        <f>130583.67</f>
        <v>130583.67</v>
      </c>
      <c r="G351" s="353">
        <f>111083.55</f>
        <v>111083.55</v>
      </c>
      <c r="H351" s="353">
        <v>104428.98</v>
      </c>
      <c r="I351" s="355">
        <v>97963.18</v>
      </c>
      <c r="J351" s="355"/>
      <c r="K351" s="355">
        <v>3342.69</v>
      </c>
      <c r="L351" s="355">
        <v>0</v>
      </c>
      <c r="M351" s="356">
        <v>0</v>
      </c>
      <c r="N351" s="351">
        <f t="shared" si="39"/>
        <v>1647743.43</v>
      </c>
      <c r="O351" s="6">
        <f>SUM(N350:N351)</f>
        <v>5067525.12</v>
      </c>
      <c r="S351" s="7"/>
      <c r="T351" s="7"/>
      <c r="U351" s="7"/>
      <c r="V351" s="7"/>
      <c r="W351" s="7"/>
      <c r="X351" s="7"/>
      <c r="Y351" s="6"/>
    </row>
    <row r="352" spans="1:25" ht="12.75">
      <c r="A352" s="513" t="s">
        <v>103</v>
      </c>
      <c r="B352" s="357" t="s">
        <v>7</v>
      </c>
      <c r="C352" s="358">
        <v>2966566.15</v>
      </c>
      <c r="D352" s="358">
        <v>0</v>
      </c>
      <c r="E352" s="358">
        <v>0</v>
      </c>
      <c r="F352" s="358">
        <f>677597.73+64761.54</f>
        <v>742359.27</v>
      </c>
      <c r="G352" s="358">
        <v>232140.22</v>
      </c>
      <c r="H352" s="358">
        <v>0</v>
      </c>
      <c r="I352" s="359">
        <v>55697</v>
      </c>
      <c r="J352" s="359"/>
      <c r="K352" s="359">
        <v>0</v>
      </c>
      <c r="L352" s="359">
        <v>0</v>
      </c>
      <c r="M352" s="360">
        <v>0</v>
      </c>
      <c r="N352" s="361">
        <f t="shared" si="39"/>
        <v>3996762.64</v>
      </c>
      <c r="O352" s="6"/>
      <c r="S352" s="7"/>
      <c r="T352" s="7"/>
      <c r="U352" s="7"/>
      <c r="V352" s="7"/>
      <c r="W352" s="7"/>
      <c r="X352" s="7"/>
      <c r="Y352" s="6"/>
    </row>
    <row r="353" spans="1:25" ht="13.5" thickBot="1">
      <c r="A353" s="514" t="s">
        <v>82</v>
      </c>
      <c r="B353" s="362" t="s">
        <v>8</v>
      </c>
      <c r="C353" s="363">
        <v>953603.17</v>
      </c>
      <c r="D353" s="363">
        <v>207644.04</v>
      </c>
      <c r="E353" s="364">
        <v>298392.09</v>
      </c>
      <c r="F353" s="363">
        <f>134208.79</f>
        <v>134208.79</v>
      </c>
      <c r="G353" s="363">
        <v>102258.74</v>
      </c>
      <c r="H353" s="363">
        <v>205183.96</v>
      </c>
      <c r="I353" s="365">
        <v>149377.37</v>
      </c>
      <c r="J353" s="365"/>
      <c r="K353" s="365">
        <v>4364.94</v>
      </c>
      <c r="L353" s="365">
        <v>0</v>
      </c>
      <c r="M353" s="366">
        <v>0</v>
      </c>
      <c r="N353" s="361">
        <f t="shared" si="39"/>
        <v>2055033.1</v>
      </c>
      <c r="O353" s="6">
        <f>SUM(N352:N353)</f>
        <v>6051795.74</v>
      </c>
      <c r="S353" s="7"/>
      <c r="T353" s="7"/>
      <c r="U353" s="7"/>
      <c r="V353" s="7"/>
      <c r="W353" s="7"/>
      <c r="X353" s="7"/>
      <c r="Y353" s="6"/>
    </row>
    <row r="354" spans="1:25" ht="12.75">
      <c r="A354" s="525">
        <v>41122</v>
      </c>
      <c r="B354" s="367" t="s">
        <v>7</v>
      </c>
      <c r="C354" s="368">
        <v>2702090.17</v>
      </c>
      <c r="D354" s="368">
        <v>0</v>
      </c>
      <c r="E354" s="368">
        <v>0</v>
      </c>
      <c r="F354" s="368">
        <f>37539.94+586636.49</f>
        <v>624176.4299999999</v>
      </c>
      <c r="G354" s="368">
        <f>25395.26</f>
        <v>25395.26</v>
      </c>
      <c r="H354" s="368">
        <v>0</v>
      </c>
      <c r="I354" s="369">
        <v>60386.52</v>
      </c>
      <c r="J354" s="369">
        <v>0</v>
      </c>
      <c r="K354" s="369">
        <v>0</v>
      </c>
      <c r="L354" s="369">
        <v>0</v>
      </c>
      <c r="M354" s="370">
        <v>0</v>
      </c>
      <c r="N354" s="371">
        <f t="shared" si="39"/>
        <v>3412048.3799999994</v>
      </c>
      <c r="O354" s="6"/>
      <c r="S354" s="7"/>
      <c r="T354" s="7"/>
      <c r="U354" s="7"/>
      <c r="V354" s="7"/>
      <c r="W354" s="7"/>
      <c r="X354" s="7"/>
      <c r="Y354" s="6"/>
    </row>
    <row r="355" spans="1:25" ht="13.5" thickBot="1">
      <c r="A355" s="526"/>
      <c r="B355" s="372" t="s">
        <v>8</v>
      </c>
      <c r="C355" s="373">
        <v>1090784.1</v>
      </c>
      <c r="D355" s="373">
        <v>141195.59</v>
      </c>
      <c r="E355" s="373">
        <v>247661.65</v>
      </c>
      <c r="F355" s="373">
        <f>161806.56</f>
        <v>161806.56</v>
      </c>
      <c r="G355" s="373">
        <f>117481.22</f>
        <v>117481.22</v>
      </c>
      <c r="H355" s="373">
        <v>286125.04</v>
      </c>
      <c r="I355" s="374">
        <v>159743.99</v>
      </c>
      <c r="J355" s="374">
        <v>28784.15</v>
      </c>
      <c r="K355" s="374">
        <v>11278.26</v>
      </c>
      <c r="L355" s="374">
        <v>0</v>
      </c>
      <c r="M355" s="375">
        <v>0</v>
      </c>
      <c r="N355" s="371">
        <f t="shared" si="39"/>
        <v>2244860.56</v>
      </c>
      <c r="O355" s="6">
        <f>SUM(N354:N355)</f>
        <v>5656908.9399999995</v>
      </c>
      <c r="S355" s="7"/>
      <c r="T355" s="7"/>
      <c r="U355" s="7"/>
      <c r="V355" s="7"/>
      <c r="W355" s="7"/>
      <c r="X355" s="7"/>
      <c r="Y355" s="6"/>
    </row>
    <row r="356" spans="1:25" ht="12.75">
      <c r="A356" s="521">
        <v>41487</v>
      </c>
      <c r="B356" s="390" t="s">
        <v>7</v>
      </c>
      <c r="C356" s="391">
        <v>3061257.73</v>
      </c>
      <c r="D356" s="391">
        <v>0</v>
      </c>
      <c r="E356" s="391">
        <v>0</v>
      </c>
      <c r="F356" s="391">
        <f>303489.38+29043.26</f>
        <v>332532.64</v>
      </c>
      <c r="G356" s="391">
        <v>10574.16</v>
      </c>
      <c r="H356" s="391">
        <v>0</v>
      </c>
      <c r="I356" s="392">
        <v>42926.49</v>
      </c>
      <c r="J356" s="392">
        <v>0</v>
      </c>
      <c r="K356" s="392">
        <v>0</v>
      </c>
      <c r="L356" s="392">
        <v>0</v>
      </c>
      <c r="M356" s="393">
        <v>0</v>
      </c>
      <c r="N356" s="394">
        <f aca="true" t="shared" si="40" ref="N356:N385">SUM(C356:M356)</f>
        <v>3447291.0200000005</v>
      </c>
      <c r="O356" s="6"/>
      <c r="S356" s="7"/>
      <c r="T356" s="7"/>
      <c r="U356" s="7"/>
      <c r="V356" s="7"/>
      <c r="W356" s="7"/>
      <c r="X356" s="7"/>
      <c r="Y356" s="6"/>
    </row>
    <row r="357" spans="1:25" ht="13.5" thickBot="1">
      <c r="A357" s="531"/>
      <c r="B357" s="395" t="s">
        <v>8</v>
      </c>
      <c r="C357" s="396">
        <v>1100959.71</v>
      </c>
      <c r="D357" s="396">
        <v>191006.84</v>
      </c>
      <c r="E357" s="396">
        <v>297783.67</v>
      </c>
      <c r="F357" s="396">
        <f>199053.34</f>
        <v>199053.34</v>
      </c>
      <c r="G357" s="396">
        <v>106532.15</v>
      </c>
      <c r="H357" s="396">
        <v>213513.9</v>
      </c>
      <c r="I357" s="397">
        <v>178443.4</v>
      </c>
      <c r="J357" s="397">
        <v>75445.99</v>
      </c>
      <c r="K357" s="397">
        <v>7360.82</v>
      </c>
      <c r="L357" s="397">
        <v>0</v>
      </c>
      <c r="M357" s="398">
        <v>0</v>
      </c>
      <c r="N357" s="394">
        <f t="shared" si="40"/>
        <v>2370099.82</v>
      </c>
      <c r="O357" s="6">
        <f>SUM(N356:N357)</f>
        <v>5817390.84</v>
      </c>
      <c r="S357" s="7"/>
      <c r="T357" s="7"/>
      <c r="U357" s="7"/>
      <c r="V357" s="7"/>
      <c r="W357" s="7"/>
      <c r="X357" s="7"/>
      <c r="Y357" s="6"/>
    </row>
    <row r="358" spans="1:25" ht="12.75">
      <c r="A358" s="515">
        <v>41852</v>
      </c>
      <c r="B358" s="403" t="s">
        <v>7</v>
      </c>
      <c r="C358" s="404">
        <f>2027037.93+16825.9</f>
        <v>2043863.8299999998</v>
      </c>
      <c r="D358" s="404">
        <v>0</v>
      </c>
      <c r="E358" s="404">
        <v>0</v>
      </c>
      <c r="F358" s="404">
        <f>263566.98+22504.55</f>
        <v>286071.52999999997</v>
      </c>
      <c r="G358" s="404">
        <v>34166.32</v>
      </c>
      <c r="H358" s="404">
        <v>0</v>
      </c>
      <c r="I358" s="405">
        <v>33598.91</v>
      </c>
      <c r="J358" s="405">
        <v>0</v>
      </c>
      <c r="K358" s="405">
        <v>0</v>
      </c>
      <c r="L358" s="405">
        <v>0</v>
      </c>
      <c r="M358" s="406">
        <v>0</v>
      </c>
      <c r="N358" s="407">
        <f t="shared" si="40"/>
        <v>2397700.59</v>
      </c>
      <c r="S358" s="7"/>
      <c r="T358" s="7"/>
      <c r="U358" s="7"/>
      <c r="V358" s="7"/>
      <c r="W358" s="7"/>
      <c r="X358" s="7"/>
      <c r="Y358" s="6"/>
    </row>
    <row r="359" spans="1:25" ht="13.5" thickBot="1">
      <c r="A359" s="516"/>
      <c r="B359" s="408" t="s">
        <v>8</v>
      </c>
      <c r="C359" s="409">
        <f>1207879.46+140929.85</f>
        <v>1348809.31</v>
      </c>
      <c r="D359" s="409">
        <v>174936.04</v>
      </c>
      <c r="E359" s="409">
        <v>261133.43</v>
      </c>
      <c r="F359" s="409">
        <f>15439.93+209647.76</f>
        <v>225087.69</v>
      </c>
      <c r="G359" s="409">
        <v>123770.58</v>
      </c>
      <c r="H359" s="409">
        <v>246047.47</v>
      </c>
      <c r="I359" s="410">
        <v>191610.54</v>
      </c>
      <c r="J359" s="410">
        <v>93171.92</v>
      </c>
      <c r="K359" s="410">
        <v>1260.17</v>
      </c>
      <c r="L359" s="410">
        <v>0</v>
      </c>
      <c r="M359" s="411">
        <v>0</v>
      </c>
      <c r="N359" s="407">
        <f t="shared" si="40"/>
        <v>2665827.15</v>
      </c>
      <c r="O359" s="6">
        <f>SUM(N358:N359)</f>
        <v>5063527.74</v>
      </c>
      <c r="S359" s="7"/>
      <c r="T359" s="7"/>
      <c r="U359" s="7"/>
      <c r="V359" s="7"/>
      <c r="W359" s="7"/>
      <c r="X359" s="7"/>
      <c r="Y359" s="6"/>
    </row>
    <row r="360" spans="1:25" ht="12.75">
      <c r="A360" s="495" t="s">
        <v>122</v>
      </c>
      <c r="B360" s="416" t="s">
        <v>7</v>
      </c>
      <c r="C360" s="417">
        <f>1576054.5+17952.85</f>
        <v>1594007.35</v>
      </c>
      <c r="D360" s="417">
        <v>0</v>
      </c>
      <c r="E360" s="417">
        <v>0</v>
      </c>
      <c r="F360" s="417">
        <f>122737.36+65371.9</f>
        <v>188109.26</v>
      </c>
      <c r="G360" s="417">
        <f>62585.49</f>
        <v>62585.49</v>
      </c>
      <c r="H360" s="417">
        <v>0</v>
      </c>
      <c r="I360" s="418">
        <v>27715.2</v>
      </c>
      <c r="J360" s="418"/>
      <c r="K360" s="418">
        <v>0</v>
      </c>
      <c r="L360" s="418">
        <v>0</v>
      </c>
      <c r="M360" s="419">
        <v>0</v>
      </c>
      <c r="N360" s="420">
        <f aca="true" t="shared" si="41" ref="N360:N365">SUM(C360:M360)</f>
        <v>1872417.3</v>
      </c>
      <c r="O360" s="6"/>
      <c r="S360" s="7"/>
      <c r="T360" s="7"/>
      <c r="U360" s="7"/>
      <c r="V360" s="7"/>
      <c r="W360" s="7"/>
      <c r="X360" s="7"/>
      <c r="Y360" s="6"/>
    </row>
    <row r="361" spans="1:25" ht="13.5" thickBot="1">
      <c r="A361" s="496"/>
      <c r="B361" s="421" t="s">
        <v>8</v>
      </c>
      <c r="C361" s="422">
        <f>1368052.13+183983.31</f>
        <v>1552035.44</v>
      </c>
      <c r="D361" s="422">
        <v>183684.97</v>
      </c>
      <c r="E361" s="423">
        <v>253472.23</v>
      </c>
      <c r="F361" s="422">
        <f>4396.26+171511.06</f>
        <v>175907.32</v>
      </c>
      <c r="G361" s="422">
        <v>235886.51</v>
      </c>
      <c r="H361" s="422">
        <v>555954.79</v>
      </c>
      <c r="I361" s="424">
        <v>229792.87</v>
      </c>
      <c r="J361" s="424">
        <v>111521.9</v>
      </c>
      <c r="K361" s="424">
        <v>1982.08</v>
      </c>
      <c r="L361" s="424">
        <v>0</v>
      </c>
      <c r="M361" s="425">
        <v>0</v>
      </c>
      <c r="N361" s="420">
        <f t="shared" si="41"/>
        <v>3300238.11</v>
      </c>
      <c r="O361" s="6">
        <f>SUM(N360:N361)</f>
        <v>5172655.41</v>
      </c>
      <c r="S361" s="7"/>
      <c r="T361" s="7"/>
      <c r="U361" s="7"/>
      <c r="V361" s="7"/>
      <c r="W361" s="7"/>
      <c r="X361" s="7"/>
      <c r="Y361" s="6"/>
    </row>
    <row r="362" spans="1:25" ht="12.75">
      <c r="A362" s="511" t="s">
        <v>135</v>
      </c>
      <c r="B362" s="427" t="s">
        <v>7</v>
      </c>
      <c r="C362" s="428">
        <v>1741349.68</v>
      </c>
      <c r="D362" s="428">
        <v>0</v>
      </c>
      <c r="E362" s="428">
        <v>0</v>
      </c>
      <c r="F362" s="428">
        <f>87400.38+26821.91</f>
        <v>114222.29000000001</v>
      </c>
      <c r="G362" s="428">
        <v>29422.28</v>
      </c>
      <c r="H362" s="428">
        <v>0</v>
      </c>
      <c r="I362" s="429">
        <v>9011.72</v>
      </c>
      <c r="J362" s="429">
        <v>0</v>
      </c>
      <c r="K362" s="429">
        <v>0</v>
      </c>
      <c r="L362" s="429">
        <v>0</v>
      </c>
      <c r="M362" s="430">
        <v>0</v>
      </c>
      <c r="N362" s="431">
        <f t="shared" si="41"/>
        <v>1894005.97</v>
      </c>
      <c r="O362" s="6"/>
      <c r="S362" s="7"/>
      <c r="T362" s="7"/>
      <c r="U362" s="7"/>
      <c r="V362" s="7"/>
      <c r="W362" s="7"/>
      <c r="X362" s="7"/>
      <c r="Y362" s="6"/>
    </row>
    <row r="363" spans="1:25" ht="13.5" thickBot="1">
      <c r="A363" s="512"/>
      <c r="B363" s="432" t="s">
        <v>8</v>
      </c>
      <c r="C363" s="433">
        <v>1846170.77</v>
      </c>
      <c r="D363" s="433">
        <v>200942.59</v>
      </c>
      <c r="E363" s="434">
        <v>238786.64</v>
      </c>
      <c r="F363" s="433">
        <v>193628.32</v>
      </c>
      <c r="G363" s="433">
        <v>177132.82</v>
      </c>
      <c r="H363" s="433">
        <v>518379.88</v>
      </c>
      <c r="I363" s="435">
        <v>303539.06</v>
      </c>
      <c r="J363" s="435">
        <v>144902.86</v>
      </c>
      <c r="K363" s="435">
        <v>2867.45</v>
      </c>
      <c r="L363" s="435">
        <v>0</v>
      </c>
      <c r="M363" s="436">
        <v>0</v>
      </c>
      <c r="N363" s="431">
        <f t="shared" si="41"/>
        <v>3626350.3899999997</v>
      </c>
      <c r="O363" s="6">
        <f>SUM(N362:N363)</f>
        <v>5520356.359999999</v>
      </c>
      <c r="S363" s="7"/>
      <c r="T363" s="7"/>
      <c r="U363" s="7"/>
      <c r="V363" s="7"/>
      <c r="W363" s="7"/>
      <c r="X363" s="7"/>
      <c r="Y363" s="6"/>
    </row>
    <row r="364" spans="1:25" ht="12.75">
      <c r="A364" s="500" t="s">
        <v>149</v>
      </c>
      <c r="B364" s="438" t="s">
        <v>7</v>
      </c>
      <c r="C364" s="439">
        <v>1662200.199999989</v>
      </c>
      <c r="D364" s="439">
        <v>0</v>
      </c>
      <c r="E364" s="440">
        <v>0</v>
      </c>
      <c r="F364" s="439">
        <v>136775.25</v>
      </c>
      <c r="G364" s="439">
        <v>47468.68</v>
      </c>
      <c r="H364" s="439">
        <v>0</v>
      </c>
      <c r="I364" s="441">
        <v>8414.8</v>
      </c>
      <c r="J364" s="441">
        <v>0</v>
      </c>
      <c r="K364" s="441">
        <v>0</v>
      </c>
      <c r="L364" s="441">
        <v>0</v>
      </c>
      <c r="M364" s="442">
        <v>0</v>
      </c>
      <c r="N364" s="443">
        <f t="shared" si="41"/>
        <v>1854858.929999989</v>
      </c>
      <c r="O364" s="6"/>
      <c r="S364" s="7"/>
      <c r="T364" s="7"/>
      <c r="U364" s="7"/>
      <c r="V364" s="7"/>
      <c r="W364" s="7"/>
      <c r="X364" s="7"/>
      <c r="Y364" s="6"/>
    </row>
    <row r="365" spans="1:25" ht="13.5" thickBot="1">
      <c r="A365" s="501"/>
      <c r="B365" s="444" t="s">
        <v>8</v>
      </c>
      <c r="C365" s="445">
        <v>1910894.3599999985</v>
      </c>
      <c r="D365" s="445">
        <v>251960.07000000004</v>
      </c>
      <c r="E365" s="446">
        <v>389417.32</v>
      </c>
      <c r="F365" s="445">
        <v>125425.2</v>
      </c>
      <c r="G365" s="445">
        <v>126547.81</v>
      </c>
      <c r="H365" s="445">
        <v>488333.5399999997</v>
      </c>
      <c r="I365" s="447">
        <v>329951.74</v>
      </c>
      <c r="J365" s="447">
        <v>102666.59</v>
      </c>
      <c r="K365" s="447">
        <v>1182.22</v>
      </c>
      <c r="L365" s="447">
        <v>0</v>
      </c>
      <c r="M365" s="448">
        <v>0</v>
      </c>
      <c r="N365" s="443">
        <f t="shared" si="41"/>
        <v>3726378.849999998</v>
      </c>
      <c r="O365" s="6">
        <f>SUM(N364:N365)</f>
        <v>5581237.779999987</v>
      </c>
      <c r="S365" s="7"/>
      <c r="T365" s="7"/>
      <c r="U365" s="7"/>
      <c r="V365" s="7"/>
      <c r="W365" s="7"/>
      <c r="X365" s="7"/>
      <c r="Y365" s="6"/>
    </row>
    <row r="366" spans="1:25" ht="12.75">
      <c r="A366" s="508" t="s">
        <v>162</v>
      </c>
      <c r="B366" s="449" t="s">
        <v>7</v>
      </c>
      <c r="C366" s="450">
        <v>1342973.14</v>
      </c>
      <c r="D366" s="450">
        <v>0</v>
      </c>
      <c r="E366" s="451">
        <v>0</v>
      </c>
      <c r="F366" s="450">
        <v>59709.49</v>
      </c>
      <c r="G366" s="450">
        <v>82767.24</v>
      </c>
      <c r="H366" s="450">
        <v>0</v>
      </c>
      <c r="I366" s="452">
        <v>8417.41</v>
      </c>
      <c r="J366" s="452">
        <v>0</v>
      </c>
      <c r="K366" s="452">
        <v>0</v>
      </c>
      <c r="L366" s="452">
        <v>0</v>
      </c>
      <c r="M366" s="453">
        <v>0</v>
      </c>
      <c r="N366" s="454">
        <f aca="true" t="shared" si="42" ref="N366:N371">SUM(C366:M366)</f>
        <v>1493867.2799999998</v>
      </c>
      <c r="O366" s="6"/>
      <c r="S366" s="7"/>
      <c r="T366" s="7"/>
      <c r="U366" s="7"/>
      <c r="V366" s="7"/>
      <c r="W366" s="7"/>
      <c r="X366" s="7"/>
      <c r="Y366" s="6"/>
    </row>
    <row r="367" spans="1:25" ht="13.5" thickBot="1">
      <c r="A367" s="509"/>
      <c r="B367" s="455" t="s">
        <v>8</v>
      </c>
      <c r="C367" s="456">
        <v>1952948.35</v>
      </c>
      <c r="D367" s="456">
        <v>249447.18</v>
      </c>
      <c r="E367" s="457">
        <v>444689.6</v>
      </c>
      <c r="F367" s="456">
        <v>181080.79</v>
      </c>
      <c r="G367" s="456">
        <v>167502.91</v>
      </c>
      <c r="H367" s="456">
        <v>576921.9</v>
      </c>
      <c r="I367" s="458">
        <v>330749.62</v>
      </c>
      <c r="J367" s="458">
        <v>103970.84</v>
      </c>
      <c r="K367" s="458">
        <v>5657.58</v>
      </c>
      <c r="L367" s="458">
        <v>0</v>
      </c>
      <c r="M367" s="459">
        <v>0</v>
      </c>
      <c r="N367" s="454">
        <f t="shared" si="42"/>
        <v>4012968.7700000005</v>
      </c>
      <c r="O367" s="6">
        <f>SUM(N366:N367)</f>
        <v>5506836.050000001</v>
      </c>
      <c r="S367" s="7"/>
      <c r="T367" s="7"/>
      <c r="U367" s="7"/>
      <c r="V367" s="7"/>
      <c r="W367" s="7"/>
      <c r="X367" s="7"/>
      <c r="Y367" s="6"/>
    </row>
    <row r="368" spans="1:25" ht="12.75">
      <c r="A368" s="498" t="s">
        <v>177</v>
      </c>
      <c r="B368" s="462" t="s">
        <v>7</v>
      </c>
      <c r="C368" s="463">
        <v>1233861.7899999975</v>
      </c>
      <c r="D368" s="463">
        <v>0</v>
      </c>
      <c r="E368" s="464">
        <v>0</v>
      </c>
      <c r="F368" s="463">
        <v>54732.07</v>
      </c>
      <c r="G368" s="463">
        <v>47359.99</v>
      </c>
      <c r="H368" s="463">
        <v>0</v>
      </c>
      <c r="I368" s="465">
        <v>2345.92</v>
      </c>
      <c r="J368" s="465">
        <v>0</v>
      </c>
      <c r="K368" s="465">
        <v>0</v>
      </c>
      <c r="L368" s="465">
        <v>0</v>
      </c>
      <c r="M368" s="466">
        <v>0</v>
      </c>
      <c r="N368" s="467">
        <f t="shared" si="42"/>
        <v>1338299.7699999975</v>
      </c>
      <c r="O368" s="6"/>
      <c r="S368" s="7"/>
      <c r="T368" s="7"/>
      <c r="U368" s="7"/>
      <c r="V368" s="7"/>
      <c r="W368" s="7"/>
      <c r="X368" s="7"/>
      <c r="Y368" s="6"/>
    </row>
    <row r="369" spans="1:25" ht="13.5" thickBot="1">
      <c r="A369" s="499"/>
      <c r="B369" s="468" t="s">
        <v>8</v>
      </c>
      <c r="C369" s="469">
        <v>2042295.4199999995</v>
      </c>
      <c r="D369" s="469">
        <v>285418.01</v>
      </c>
      <c r="E369" s="470">
        <v>416609.07</v>
      </c>
      <c r="F369" s="469">
        <v>187290.05</v>
      </c>
      <c r="G369" s="469">
        <v>181881.81</v>
      </c>
      <c r="H369" s="469">
        <v>747639.15</v>
      </c>
      <c r="I369" s="471">
        <v>414212.38</v>
      </c>
      <c r="J369" s="471">
        <v>0</v>
      </c>
      <c r="K369" s="471">
        <v>1419.25</v>
      </c>
      <c r="L369" s="471">
        <v>0</v>
      </c>
      <c r="M369" s="472">
        <v>0</v>
      </c>
      <c r="N369" s="467">
        <f t="shared" si="42"/>
        <v>4276765.14</v>
      </c>
      <c r="O369" s="6">
        <f>SUM(N368:N369)</f>
        <v>5615064.909999997</v>
      </c>
      <c r="S369" s="7"/>
      <c r="T369" s="7"/>
      <c r="U369" s="7"/>
      <c r="V369" s="7"/>
      <c r="W369" s="7"/>
      <c r="X369" s="7"/>
      <c r="Y369" s="6"/>
    </row>
    <row r="370" spans="1:25" ht="12.75">
      <c r="A370" s="493" t="s">
        <v>189</v>
      </c>
      <c r="B370" s="473" t="s">
        <v>7</v>
      </c>
      <c r="C370" s="474">
        <v>0</v>
      </c>
      <c r="D370" s="474">
        <v>0</v>
      </c>
      <c r="E370" s="474">
        <v>0</v>
      </c>
      <c r="F370" s="474">
        <v>153.32</v>
      </c>
      <c r="G370" s="474">
        <v>0</v>
      </c>
      <c r="H370" s="474">
        <v>0</v>
      </c>
      <c r="I370" s="475">
        <v>0</v>
      </c>
      <c r="J370" s="475">
        <v>0</v>
      </c>
      <c r="K370" s="475">
        <v>0</v>
      </c>
      <c r="L370" s="475">
        <v>0</v>
      </c>
      <c r="M370" s="476">
        <v>0</v>
      </c>
      <c r="N370" s="477">
        <f t="shared" si="42"/>
        <v>153.32</v>
      </c>
      <c r="O370" s="6"/>
      <c r="S370" s="7"/>
      <c r="T370" s="7"/>
      <c r="U370" s="7"/>
      <c r="V370" s="7"/>
      <c r="W370" s="7"/>
      <c r="X370" s="7"/>
      <c r="Y370" s="6"/>
    </row>
    <row r="371" spans="1:25" ht="13.5" thickBot="1">
      <c r="A371" s="494"/>
      <c r="B371" s="478" t="s">
        <v>8</v>
      </c>
      <c r="C371" s="479">
        <v>862445.27</v>
      </c>
      <c r="D371" s="479">
        <v>149679.54</v>
      </c>
      <c r="E371" s="480">
        <v>138643.19</v>
      </c>
      <c r="F371" s="479">
        <v>50630.84</v>
      </c>
      <c r="G371" s="479">
        <v>32157.44</v>
      </c>
      <c r="H371" s="479">
        <v>435386.311</v>
      </c>
      <c r="I371" s="481">
        <v>114597.08</v>
      </c>
      <c r="J371" s="481">
        <v>0</v>
      </c>
      <c r="K371" s="481">
        <v>0</v>
      </c>
      <c r="L371" s="481">
        <v>0</v>
      </c>
      <c r="M371" s="482">
        <v>0</v>
      </c>
      <c r="N371" s="477">
        <f t="shared" si="42"/>
        <v>1783539.671</v>
      </c>
      <c r="O371" s="6">
        <f>SUM(N370:N371)</f>
        <v>1783692.9910000002</v>
      </c>
      <c r="S371" s="7"/>
      <c r="T371" s="7"/>
      <c r="U371" s="7"/>
      <c r="V371" s="7"/>
      <c r="W371" s="7"/>
      <c r="X371" s="7"/>
      <c r="Y371" s="6"/>
    </row>
    <row r="372" spans="1:25" ht="12.75">
      <c r="A372" s="538" t="s">
        <v>203</v>
      </c>
      <c r="B372" s="483" t="s">
        <v>7</v>
      </c>
      <c r="C372" s="484">
        <v>0</v>
      </c>
      <c r="D372" s="484">
        <v>0</v>
      </c>
      <c r="E372" s="484">
        <v>0</v>
      </c>
      <c r="F372" s="484"/>
      <c r="G372" s="484">
        <v>0</v>
      </c>
      <c r="H372" s="484">
        <v>0</v>
      </c>
      <c r="I372" s="485">
        <v>0</v>
      </c>
      <c r="J372" s="485">
        <v>0</v>
      </c>
      <c r="K372" s="485">
        <v>0</v>
      </c>
      <c r="L372" s="485">
        <v>0</v>
      </c>
      <c r="M372" s="486">
        <v>0</v>
      </c>
      <c r="N372" s="487">
        <f>SUM(C372:M372)</f>
        <v>0</v>
      </c>
      <c r="O372" s="6"/>
      <c r="S372" s="7"/>
      <c r="T372" s="7"/>
      <c r="U372" s="7"/>
      <c r="V372" s="7"/>
      <c r="W372" s="7"/>
      <c r="X372" s="7"/>
      <c r="Y372" s="6"/>
    </row>
    <row r="373" spans="1:25" ht="13.5" thickBot="1">
      <c r="A373" s="539"/>
      <c r="B373" s="488" t="s">
        <v>8</v>
      </c>
      <c r="C373" s="489"/>
      <c r="D373" s="489"/>
      <c r="E373" s="490"/>
      <c r="F373" s="489"/>
      <c r="G373" s="489"/>
      <c r="H373" s="489"/>
      <c r="I373" s="491"/>
      <c r="J373" s="491">
        <v>0</v>
      </c>
      <c r="K373" s="491">
        <v>0</v>
      </c>
      <c r="L373" s="491">
        <v>0</v>
      </c>
      <c r="M373" s="492">
        <v>0</v>
      </c>
      <c r="N373" s="487">
        <f>SUM(C373:M373)</f>
        <v>0</v>
      </c>
      <c r="O373" s="6">
        <f>SUM(N372:N373)</f>
        <v>0</v>
      </c>
      <c r="S373" s="7"/>
      <c r="T373" s="7"/>
      <c r="U373" s="7"/>
      <c r="V373" s="7"/>
      <c r="W373" s="7"/>
      <c r="X373" s="7"/>
      <c r="Y373" s="6"/>
    </row>
    <row r="374" spans="1:14" ht="12.75">
      <c r="A374" s="504">
        <v>36404</v>
      </c>
      <c r="B374" s="34" t="s">
        <v>7</v>
      </c>
      <c r="C374" s="87">
        <v>1337111.71</v>
      </c>
      <c r="D374" s="87">
        <v>115913.23</v>
      </c>
      <c r="E374" s="87">
        <v>20597.06</v>
      </c>
      <c r="F374" s="87">
        <v>4897817</v>
      </c>
      <c r="G374" s="87"/>
      <c r="H374" s="87"/>
      <c r="I374" s="107">
        <v>1481.82</v>
      </c>
      <c r="J374" s="107"/>
      <c r="K374" s="107"/>
      <c r="L374" s="107"/>
      <c r="M374" s="35">
        <v>98892.96</v>
      </c>
      <c r="N374" s="5">
        <f t="shared" si="40"/>
        <v>6471813.78</v>
      </c>
    </row>
    <row r="375" spans="1:15" ht="12.75">
      <c r="A375" s="505"/>
      <c r="B375" s="36" t="s">
        <v>8</v>
      </c>
      <c r="C375" s="88">
        <v>70374.3</v>
      </c>
      <c r="D375" s="88">
        <v>0</v>
      </c>
      <c r="E375" s="88">
        <v>3464.16</v>
      </c>
      <c r="F375" s="88">
        <v>62746.53</v>
      </c>
      <c r="G375" s="88"/>
      <c r="H375" s="88"/>
      <c r="I375" s="108">
        <v>923.84</v>
      </c>
      <c r="J375" s="108"/>
      <c r="K375" s="108"/>
      <c r="L375" s="108"/>
      <c r="M375" s="37">
        <v>0</v>
      </c>
      <c r="N375" s="5">
        <f t="shared" si="40"/>
        <v>137508.83</v>
      </c>
      <c r="O375" s="6">
        <f>SUM(N374:N375)</f>
        <v>6609322.61</v>
      </c>
    </row>
    <row r="376" spans="1:14" ht="12.75">
      <c r="A376" s="529">
        <v>36770</v>
      </c>
      <c r="B376" s="38" t="s">
        <v>7</v>
      </c>
      <c r="C376" s="89">
        <f>'[1]2000'!C24</f>
        <v>1768907.96</v>
      </c>
      <c r="D376" s="89">
        <f>'[1]2000'!D24</f>
        <v>67261.9</v>
      </c>
      <c r="E376" s="211">
        <f>'[1]2000'!E24</f>
        <v>32939.47</v>
      </c>
      <c r="F376" s="89">
        <f>'[1]2000'!F24</f>
        <v>4294951</v>
      </c>
      <c r="G376" s="89"/>
      <c r="H376" s="89"/>
      <c r="I376" s="109">
        <f>'[1]2000'!G24</f>
        <v>83674.1</v>
      </c>
      <c r="J376" s="109"/>
      <c r="K376" s="109"/>
      <c r="L376" s="109"/>
      <c r="M376" s="39">
        <f>'[1]2000'!H24</f>
        <v>102593</v>
      </c>
      <c r="N376" s="8">
        <f t="shared" si="40"/>
        <v>6350327.43</v>
      </c>
    </row>
    <row r="377" spans="1:15" ht="12.75">
      <c r="A377" s="530"/>
      <c r="B377" s="40" t="s">
        <v>8</v>
      </c>
      <c r="C377" s="82">
        <f>'[1]2000'!C25</f>
        <v>93100.42</v>
      </c>
      <c r="D377" s="82">
        <f>'[1]2000'!D25</f>
        <v>0</v>
      </c>
      <c r="E377" s="212">
        <f>'[1]2000'!E25</f>
        <v>9514.87</v>
      </c>
      <c r="F377" s="82">
        <f>'[1]2000'!F25</f>
        <v>94743.98</v>
      </c>
      <c r="G377" s="82"/>
      <c r="H377" s="82"/>
      <c r="I377" s="104">
        <f>'[1]2000'!G25</f>
        <v>42140.38</v>
      </c>
      <c r="J377" s="104"/>
      <c r="K377" s="104"/>
      <c r="L377" s="104"/>
      <c r="M377" s="41">
        <f>'[1]2000'!H25</f>
        <v>498.96</v>
      </c>
      <c r="N377" s="8">
        <f t="shared" si="40"/>
        <v>239998.61</v>
      </c>
      <c r="O377" s="6">
        <f>SUM(N376:N377)</f>
        <v>6590326.04</v>
      </c>
    </row>
    <row r="378" spans="1:15" ht="12.75">
      <c r="A378" s="497">
        <f>A376+366</f>
        <v>37136</v>
      </c>
      <c r="B378" s="26" t="s">
        <v>7</v>
      </c>
      <c r="C378" s="83">
        <v>1485507.39</v>
      </c>
      <c r="D378" s="83">
        <v>45338.55</v>
      </c>
      <c r="E378" s="83">
        <v>11962.73</v>
      </c>
      <c r="F378" s="83">
        <v>4156964.18</v>
      </c>
      <c r="G378" s="83"/>
      <c r="H378" s="83"/>
      <c r="I378" s="105">
        <v>6832.28</v>
      </c>
      <c r="J378" s="105"/>
      <c r="K378" s="105"/>
      <c r="L378" s="105"/>
      <c r="M378" s="27">
        <v>49283.17</v>
      </c>
      <c r="N378" s="9">
        <f t="shared" si="40"/>
        <v>5755888.3</v>
      </c>
      <c r="O378" s="6"/>
    </row>
    <row r="379" spans="1:15" ht="12.75">
      <c r="A379" s="497"/>
      <c r="B379" s="28" t="s">
        <v>8</v>
      </c>
      <c r="C379" s="84">
        <v>78184.6</v>
      </c>
      <c r="D379" s="84">
        <v>47943.37</v>
      </c>
      <c r="E379" s="84">
        <v>1138.51</v>
      </c>
      <c r="F379" s="84">
        <v>104278.4</v>
      </c>
      <c r="G379" s="84"/>
      <c r="H379" s="84"/>
      <c r="I379" s="20">
        <v>121953.36</v>
      </c>
      <c r="J379" s="20"/>
      <c r="K379" s="20"/>
      <c r="L379" s="20"/>
      <c r="M379" s="29">
        <v>3720.13</v>
      </c>
      <c r="N379" s="9">
        <f t="shared" si="40"/>
        <v>357218.37</v>
      </c>
      <c r="O379" s="6">
        <f>SUM(N378:N379)</f>
        <v>6113106.67</v>
      </c>
    </row>
    <row r="380" spans="1:15" ht="12.75">
      <c r="A380" s="534">
        <v>37500</v>
      </c>
      <c r="B380" s="30" t="s">
        <v>7</v>
      </c>
      <c r="C380" s="85">
        <v>1015900.58</v>
      </c>
      <c r="D380" s="85">
        <v>111590</v>
      </c>
      <c r="E380" s="85">
        <v>0</v>
      </c>
      <c r="F380" s="85">
        <v>4022178.61</v>
      </c>
      <c r="G380" s="85"/>
      <c r="H380" s="85"/>
      <c r="I380" s="106">
        <v>155774.99</v>
      </c>
      <c r="J380" s="106"/>
      <c r="K380" s="106"/>
      <c r="L380" s="106"/>
      <c r="M380" s="31">
        <v>28395.62</v>
      </c>
      <c r="N380" s="19">
        <f t="shared" si="40"/>
        <v>5333839.8</v>
      </c>
      <c r="O380" s="6"/>
    </row>
    <row r="381" spans="1:15" ht="12.75">
      <c r="A381" s="534"/>
      <c r="B381" s="32" t="s">
        <v>8</v>
      </c>
      <c r="C381" s="86">
        <v>59740.6</v>
      </c>
      <c r="D381" s="86">
        <v>61995.4</v>
      </c>
      <c r="E381" s="86">
        <v>14296.52</v>
      </c>
      <c r="F381" s="86">
        <v>84494.31</v>
      </c>
      <c r="G381" s="86"/>
      <c r="H381" s="86">
        <v>1566.34</v>
      </c>
      <c r="I381" s="22">
        <v>95132.03</v>
      </c>
      <c r="J381" s="22"/>
      <c r="K381" s="22"/>
      <c r="L381" s="22"/>
      <c r="M381" s="33">
        <v>9783.65</v>
      </c>
      <c r="N381" s="19">
        <f t="shared" si="40"/>
        <v>327008.85</v>
      </c>
      <c r="O381" s="6">
        <f>SUM(N380:N381)</f>
        <v>5660848.649999999</v>
      </c>
    </row>
    <row r="382" spans="1:15" ht="12.75">
      <c r="A382" s="519">
        <v>37865</v>
      </c>
      <c r="B382" s="115" t="s">
        <v>7</v>
      </c>
      <c r="C382" s="116">
        <v>1202497.71</v>
      </c>
      <c r="D382" s="116">
        <v>166843.64</v>
      </c>
      <c r="E382" s="116">
        <v>0</v>
      </c>
      <c r="F382" s="116">
        <f>36949.41+4663443.32</f>
        <v>4700392.73</v>
      </c>
      <c r="G382" s="116"/>
      <c r="H382" s="116"/>
      <c r="I382" s="117">
        <v>4069.5</v>
      </c>
      <c r="J382" s="117"/>
      <c r="K382" s="117"/>
      <c r="L382" s="117"/>
      <c r="M382" s="118">
        <v>35411.02</v>
      </c>
      <c r="N382" s="113">
        <f t="shared" si="40"/>
        <v>6109214.6</v>
      </c>
      <c r="O382" s="6"/>
    </row>
    <row r="383" spans="1:15" ht="13.5" thickBot="1">
      <c r="A383" s="520"/>
      <c r="B383" s="119" t="s">
        <v>8</v>
      </c>
      <c r="C383" s="120">
        <v>114846.73</v>
      </c>
      <c r="D383" s="120">
        <v>89112.94</v>
      </c>
      <c r="E383" s="120">
        <v>62135.13</v>
      </c>
      <c r="F383" s="120">
        <f>155897.45</f>
        <v>155897.45</v>
      </c>
      <c r="G383" s="120"/>
      <c r="H383" s="120">
        <v>2591.04</v>
      </c>
      <c r="I383" s="121">
        <v>186686.31</v>
      </c>
      <c r="J383" s="121"/>
      <c r="K383" s="121"/>
      <c r="L383" s="121"/>
      <c r="M383" s="67">
        <v>7822.05</v>
      </c>
      <c r="N383" s="113">
        <f t="shared" si="40"/>
        <v>619091.65</v>
      </c>
      <c r="O383" s="6">
        <f>SUM(N382:N383)</f>
        <v>6728306.25</v>
      </c>
    </row>
    <row r="384" spans="1:15" ht="12.75">
      <c r="A384" s="523">
        <v>38231</v>
      </c>
      <c r="B384" s="214" t="s">
        <v>7</v>
      </c>
      <c r="C384" s="215">
        <v>1280501.68</v>
      </c>
      <c r="D384" s="215">
        <v>146170.02</v>
      </c>
      <c r="E384" s="215"/>
      <c r="F384" s="215">
        <f>4266531.66+48129.88</f>
        <v>4314661.54</v>
      </c>
      <c r="G384" s="215"/>
      <c r="H384" s="215"/>
      <c r="I384" s="216">
        <v>172366.91</v>
      </c>
      <c r="J384" s="216"/>
      <c r="K384" s="216"/>
      <c r="L384" s="216"/>
      <c r="M384" s="217">
        <v>92936.08</v>
      </c>
      <c r="N384" s="218">
        <f t="shared" si="40"/>
        <v>6006636.23</v>
      </c>
      <c r="O384" s="6"/>
    </row>
    <row r="385" spans="1:15" ht="13.5" thickBot="1">
      <c r="A385" s="524"/>
      <c r="B385" s="223" t="s">
        <v>8</v>
      </c>
      <c r="C385" s="224">
        <v>276051.79</v>
      </c>
      <c r="D385" s="224">
        <v>95861.11</v>
      </c>
      <c r="E385" s="225">
        <v>46125.88</v>
      </c>
      <c r="F385" s="224">
        <v>191176.03</v>
      </c>
      <c r="G385" s="224"/>
      <c r="H385" s="224">
        <v>27989.4</v>
      </c>
      <c r="I385" s="226">
        <v>115122.36</v>
      </c>
      <c r="J385" s="226"/>
      <c r="K385" s="226"/>
      <c r="L385" s="226">
        <v>29756</v>
      </c>
      <c r="M385" s="227">
        <v>1865.11</v>
      </c>
      <c r="N385" s="218">
        <f t="shared" si="40"/>
        <v>783947.6799999999</v>
      </c>
      <c r="O385" s="6">
        <f>SUM(N384:N385)</f>
        <v>6790583.91</v>
      </c>
    </row>
    <row r="386" spans="1:15" ht="12.75">
      <c r="A386" s="517">
        <v>38596</v>
      </c>
      <c r="B386" s="274" t="s">
        <v>7</v>
      </c>
      <c r="C386" s="275">
        <v>1449510.93</v>
      </c>
      <c r="D386" s="275">
        <v>179915.92</v>
      </c>
      <c r="E386" s="275"/>
      <c r="F386" s="275">
        <f>4974881.51+13181.29</f>
        <v>4988062.8</v>
      </c>
      <c r="G386" s="275">
        <v>526.91</v>
      </c>
      <c r="H386" s="275"/>
      <c r="I386" s="276">
        <v>156483.88</v>
      </c>
      <c r="J386" s="276"/>
      <c r="K386" s="276"/>
      <c r="L386" s="276"/>
      <c r="M386" s="277">
        <v>57305.56</v>
      </c>
      <c r="N386" s="273">
        <f aca="true" t="shared" si="43" ref="N386:N391">SUM(C386:M386)</f>
        <v>6831805.999999999</v>
      </c>
      <c r="O386" s="6"/>
    </row>
    <row r="387" spans="1:15" ht="13.5" thickBot="1">
      <c r="A387" s="518"/>
      <c r="B387" s="282" t="s">
        <v>8</v>
      </c>
      <c r="C387" s="283">
        <v>172270.52</v>
      </c>
      <c r="D387" s="283">
        <v>88342.38</v>
      </c>
      <c r="E387" s="284">
        <v>59968.01</v>
      </c>
      <c r="F387" s="283">
        <f>170115.02</f>
        <v>170115.02</v>
      </c>
      <c r="G387" s="283">
        <v>41348.38</v>
      </c>
      <c r="H387" s="283">
        <v>69045.35</v>
      </c>
      <c r="I387" s="285">
        <v>73206.27</v>
      </c>
      <c r="J387" s="285"/>
      <c r="K387" s="285"/>
      <c r="L387" s="285">
        <v>19789</v>
      </c>
      <c r="M387" s="286">
        <v>17234.94</v>
      </c>
      <c r="N387" s="273">
        <f t="shared" si="43"/>
        <v>711319.8699999999</v>
      </c>
      <c r="O387" s="6">
        <f>SUM(N386:N387)</f>
        <v>7543125.869999999</v>
      </c>
    </row>
    <row r="388" spans="1:15" ht="12.75">
      <c r="A388" s="527">
        <v>38961</v>
      </c>
      <c r="B388" s="289" t="s">
        <v>7</v>
      </c>
      <c r="C388" s="290">
        <v>1186827.31</v>
      </c>
      <c r="D388" s="290">
        <v>-445.85</v>
      </c>
      <c r="E388" s="290"/>
      <c r="F388" s="290">
        <f>21382.27+3828173.82</f>
        <v>3849556.09</v>
      </c>
      <c r="G388" s="290">
        <v>44.94</v>
      </c>
      <c r="H388" s="290"/>
      <c r="I388" s="291">
        <v>46773.4</v>
      </c>
      <c r="J388" s="291"/>
      <c r="K388" s="291"/>
      <c r="L388" s="291"/>
      <c r="M388" s="292">
        <v>80779.63</v>
      </c>
      <c r="N388" s="293">
        <f t="shared" si="43"/>
        <v>5163535.5200000005</v>
      </c>
      <c r="O388" s="6"/>
    </row>
    <row r="389" spans="1:15" ht="13.5" thickBot="1">
      <c r="A389" s="528"/>
      <c r="B389" s="299" t="s">
        <v>8</v>
      </c>
      <c r="C389" s="300">
        <v>190403.93</v>
      </c>
      <c r="D389" s="300">
        <v>314920.61</v>
      </c>
      <c r="E389" s="301">
        <v>167931.31</v>
      </c>
      <c r="F389" s="300">
        <f>166663.99</f>
        <v>166663.99</v>
      </c>
      <c r="G389" s="300">
        <v>72957.01</v>
      </c>
      <c r="H389" s="300">
        <v>75014.82</v>
      </c>
      <c r="I389" s="302">
        <v>103327.74</v>
      </c>
      <c r="J389" s="302"/>
      <c r="K389" s="302"/>
      <c r="L389" s="302">
        <v>0</v>
      </c>
      <c r="M389" s="303">
        <v>3245.26</v>
      </c>
      <c r="N389" s="293">
        <f t="shared" si="43"/>
        <v>1094464.67</v>
      </c>
      <c r="O389" s="6">
        <f>SUM(N388:N389)</f>
        <v>6258000.19</v>
      </c>
    </row>
    <row r="390" spans="1:15" ht="12.75">
      <c r="A390" s="502" t="s">
        <v>47</v>
      </c>
      <c r="B390" s="305" t="s">
        <v>7</v>
      </c>
      <c r="C390" s="306">
        <v>1522227.27</v>
      </c>
      <c r="D390" s="306">
        <v>232280.2</v>
      </c>
      <c r="E390" s="306"/>
      <c r="F390" s="306">
        <f>10135.03+4484039.65</f>
        <v>4494174.680000001</v>
      </c>
      <c r="G390" s="306">
        <f>1664.36</f>
        <v>1664.36</v>
      </c>
      <c r="H390" s="306"/>
      <c r="I390" s="307">
        <v>57759.42</v>
      </c>
      <c r="J390" s="307"/>
      <c r="K390" s="307"/>
      <c r="L390" s="307"/>
      <c r="M390" s="308">
        <v>78361.75</v>
      </c>
      <c r="N390" s="304">
        <f t="shared" si="43"/>
        <v>6386467.680000001</v>
      </c>
      <c r="O390" s="6"/>
    </row>
    <row r="391" spans="1:15" ht="13.5" thickBot="1">
      <c r="A391" s="503"/>
      <c r="B391" s="313" t="s">
        <v>8</v>
      </c>
      <c r="C391" s="309">
        <f>432990.69-21649.53</f>
        <v>411341.16000000003</v>
      </c>
      <c r="D391" s="309">
        <v>124502.62</v>
      </c>
      <c r="E391" s="310">
        <v>178672.61</v>
      </c>
      <c r="F391" s="309">
        <f>75896.44</f>
        <v>75896.44</v>
      </c>
      <c r="G391" s="309">
        <f>60502.37</f>
        <v>60502.37</v>
      </c>
      <c r="H391" s="309">
        <v>122453.92</v>
      </c>
      <c r="I391" s="311">
        <v>76689.55</v>
      </c>
      <c r="J391" s="311"/>
      <c r="K391" s="311"/>
      <c r="L391" s="311"/>
      <c r="M391" s="312">
        <v>2935</v>
      </c>
      <c r="N391" s="304">
        <f t="shared" si="43"/>
        <v>1052993.6700000002</v>
      </c>
      <c r="O391" s="6">
        <f>SUM(N390:N391)</f>
        <v>7439461.350000001</v>
      </c>
    </row>
    <row r="392" spans="1:25" ht="12.75">
      <c r="A392" s="511" t="s">
        <v>61</v>
      </c>
      <c r="B392" s="318" t="s">
        <v>7</v>
      </c>
      <c r="C392" s="319">
        <v>1491958.01</v>
      </c>
      <c r="D392" s="319">
        <v>1505.7</v>
      </c>
      <c r="E392" s="319">
        <v>0</v>
      </c>
      <c r="F392" s="319">
        <f>3143442.24+7037.03</f>
        <v>3150479.27</v>
      </c>
      <c r="G392" s="319">
        <v>61365.44</v>
      </c>
      <c r="H392" s="319">
        <v>0</v>
      </c>
      <c r="I392" s="320">
        <v>60990.97</v>
      </c>
      <c r="J392" s="320"/>
      <c r="K392" s="320"/>
      <c r="L392" s="320">
        <v>0</v>
      </c>
      <c r="M392" s="321">
        <v>23576.68</v>
      </c>
      <c r="N392" s="322">
        <f>SUM(B392:M392)</f>
        <v>4789876.07</v>
      </c>
      <c r="O392" s="6"/>
      <c r="S392" s="7"/>
      <c r="T392" s="7"/>
      <c r="U392" s="7"/>
      <c r="V392" s="7"/>
      <c r="W392" s="7"/>
      <c r="X392" s="7"/>
      <c r="Y392" s="6"/>
    </row>
    <row r="393" spans="1:25" ht="13.5" thickBot="1">
      <c r="A393" s="512"/>
      <c r="B393" s="323" t="s">
        <v>8</v>
      </c>
      <c r="C393" s="324">
        <v>385588.17</v>
      </c>
      <c r="D393" s="324">
        <v>260255.98</v>
      </c>
      <c r="E393" s="325">
        <v>225810.12</v>
      </c>
      <c r="F393" s="324">
        <f>90148.02</f>
        <v>90148.02</v>
      </c>
      <c r="G393" s="324">
        <v>68087.13</v>
      </c>
      <c r="H393" s="324">
        <v>89292.47</v>
      </c>
      <c r="I393" s="326">
        <v>65926.67</v>
      </c>
      <c r="J393" s="326"/>
      <c r="K393" s="326"/>
      <c r="L393" s="326">
        <v>0</v>
      </c>
      <c r="M393" s="327">
        <v>2801.83</v>
      </c>
      <c r="N393" s="322">
        <f>SUM(B393:M393)</f>
        <v>1187910.3900000001</v>
      </c>
      <c r="O393" s="6">
        <f>SUM(N392:N393)</f>
        <v>5977786.460000001</v>
      </c>
      <c r="S393" s="7"/>
      <c r="T393" s="7"/>
      <c r="U393" s="7"/>
      <c r="V393" s="7"/>
      <c r="W393" s="7"/>
      <c r="X393" s="7"/>
      <c r="Y393" s="6"/>
    </row>
    <row r="394" spans="1:25" ht="12.75">
      <c r="A394" s="532" t="s">
        <v>76</v>
      </c>
      <c r="B394" s="333" t="s">
        <v>7</v>
      </c>
      <c r="C394" s="334">
        <v>1545058.15</v>
      </c>
      <c r="D394" s="334">
        <f>657.11</f>
        <v>657.11</v>
      </c>
      <c r="E394" s="334"/>
      <c r="F394" s="334">
        <f>1912.14+985386.2</f>
        <v>987298.34</v>
      </c>
      <c r="G394" s="334">
        <f>131716.57</f>
        <v>131716.57</v>
      </c>
      <c r="H394" s="334"/>
      <c r="I394" s="335">
        <f>17156.79</f>
        <v>17156.79</v>
      </c>
      <c r="J394" s="335"/>
      <c r="K394" s="335">
        <v>0</v>
      </c>
      <c r="L394" s="335">
        <v>0</v>
      </c>
      <c r="M394" s="336">
        <v>0</v>
      </c>
      <c r="N394" s="337">
        <f>SUM(B394:M394)</f>
        <v>2681886.96</v>
      </c>
      <c r="O394" s="6"/>
      <c r="S394" s="7"/>
      <c r="T394" s="7"/>
      <c r="U394" s="7"/>
      <c r="V394" s="7"/>
      <c r="W394" s="7"/>
      <c r="X394" s="7"/>
      <c r="Y394" s="6"/>
    </row>
    <row r="395" spans="1:25" ht="13.5" thickBot="1">
      <c r="A395" s="533"/>
      <c r="B395" s="338" t="s">
        <v>8</v>
      </c>
      <c r="C395" s="339">
        <v>457120.61</v>
      </c>
      <c r="D395" s="339">
        <f>119313.12</f>
        <v>119313.12</v>
      </c>
      <c r="E395" s="340">
        <v>226552.78</v>
      </c>
      <c r="F395" s="339">
        <f>72869.14</f>
        <v>72869.14</v>
      </c>
      <c r="G395" s="339">
        <f>50775.39</f>
        <v>50775.39</v>
      </c>
      <c r="H395" s="339">
        <v>89702.97</v>
      </c>
      <c r="I395" s="341">
        <f>56391.48</f>
        <v>56391.48</v>
      </c>
      <c r="J395" s="341"/>
      <c r="K395" s="341">
        <v>0</v>
      </c>
      <c r="L395" s="341">
        <v>0</v>
      </c>
      <c r="M395" s="342">
        <v>0</v>
      </c>
      <c r="N395" s="337">
        <f>SUM(B395:M395)</f>
        <v>1072725.49</v>
      </c>
      <c r="O395" s="6">
        <f>SUM(N394:N395)</f>
        <v>3754612.45</v>
      </c>
      <c r="S395" s="7"/>
      <c r="T395" s="7"/>
      <c r="U395" s="7"/>
      <c r="V395" s="7"/>
      <c r="W395" s="7"/>
      <c r="X395" s="7"/>
      <c r="Y395" s="6"/>
    </row>
    <row r="396" spans="1:25" ht="12.75">
      <c r="A396" s="506" t="s">
        <v>90</v>
      </c>
      <c r="B396" s="347" t="s">
        <v>7</v>
      </c>
      <c r="C396" s="348">
        <v>1653571.12</v>
      </c>
      <c r="D396" s="348">
        <v>157.73</v>
      </c>
      <c r="E396" s="348">
        <v>0</v>
      </c>
      <c r="F396" s="348">
        <f>12184.24+567313.15</f>
        <v>579497.39</v>
      </c>
      <c r="G396" s="348">
        <f>94684.87</f>
        <v>94684.87</v>
      </c>
      <c r="H396" s="348">
        <v>0</v>
      </c>
      <c r="I396" s="349">
        <v>35104.57</v>
      </c>
      <c r="J396" s="349"/>
      <c r="K396" s="349">
        <v>0</v>
      </c>
      <c r="L396" s="349">
        <v>0</v>
      </c>
      <c r="M396" s="350">
        <v>0</v>
      </c>
      <c r="N396" s="351">
        <f aca="true" t="shared" si="44" ref="N396:N401">SUM(C396:M396)</f>
        <v>2363015.68</v>
      </c>
      <c r="O396" s="6"/>
      <c r="S396" s="7"/>
      <c r="T396" s="7"/>
      <c r="U396" s="7"/>
      <c r="V396" s="7"/>
      <c r="W396" s="7"/>
      <c r="X396" s="7"/>
      <c r="Y396" s="6"/>
    </row>
    <row r="397" spans="1:25" ht="13.5" thickBot="1">
      <c r="A397" s="507" t="s">
        <v>82</v>
      </c>
      <c r="B397" s="352" t="s">
        <v>8</v>
      </c>
      <c r="C397" s="353">
        <v>422810.7</v>
      </c>
      <c r="D397" s="353">
        <v>74310.36</v>
      </c>
      <c r="E397" s="354">
        <v>177623.48</v>
      </c>
      <c r="F397" s="353">
        <f>66022.61</f>
        <v>66022.61</v>
      </c>
      <c r="G397" s="353">
        <f>50285.04</f>
        <v>50285.04</v>
      </c>
      <c r="H397" s="353">
        <v>71122.53</v>
      </c>
      <c r="I397" s="355">
        <v>48303.82</v>
      </c>
      <c r="J397" s="355"/>
      <c r="K397" s="355">
        <v>2655.48</v>
      </c>
      <c r="L397" s="355">
        <v>0</v>
      </c>
      <c r="M397" s="356">
        <v>0</v>
      </c>
      <c r="N397" s="351">
        <f t="shared" si="44"/>
        <v>913134.02</v>
      </c>
      <c r="O397" s="6">
        <f>SUM(N396:N397)</f>
        <v>3276149.7</v>
      </c>
      <c r="S397" s="7"/>
      <c r="T397" s="7"/>
      <c r="U397" s="7"/>
      <c r="V397" s="7"/>
      <c r="W397" s="7"/>
      <c r="X397" s="7"/>
      <c r="Y397" s="6"/>
    </row>
    <row r="398" spans="1:25" ht="12.75">
      <c r="A398" s="513" t="s">
        <v>104</v>
      </c>
      <c r="B398" s="357" t="s">
        <v>7</v>
      </c>
      <c r="C398" s="358">
        <v>2013154.48</v>
      </c>
      <c r="D398" s="358">
        <v>0</v>
      </c>
      <c r="E398" s="358">
        <v>0</v>
      </c>
      <c r="F398" s="358">
        <f>579772.86+23098.37</f>
        <v>602871.23</v>
      </c>
      <c r="G398" s="358">
        <v>164080.86</v>
      </c>
      <c r="H398" s="358">
        <v>0</v>
      </c>
      <c r="I398" s="359">
        <v>40900.32</v>
      </c>
      <c r="J398" s="359"/>
      <c r="K398" s="359">
        <v>0</v>
      </c>
      <c r="L398" s="359">
        <v>0</v>
      </c>
      <c r="M398" s="360">
        <v>0</v>
      </c>
      <c r="N398" s="361">
        <f t="shared" si="44"/>
        <v>2821006.8899999997</v>
      </c>
      <c r="O398" s="6"/>
      <c r="S398" s="7"/>
      <c r="T398" s="7"/>
      <c r="U398" s="7"/>
      <c r="V398" s="7"/>
      <c r="W398" s="7"/>
      <c r="X398" s="7"/>
      <c r="Y398" s="6"/>
    </row>
    <row r="399" spans="1:25" ht="13.5" thickBot="1">
      <c r="A399" s="514" t="s">
        <v>82</v>
      </c>
      <c r="B399" s="362" t="s">
        <v>8</v>
      </c>
      <c r="C399" s="363">
        <v>526740.2</v>
      </c>
      <c r="D399" s="363">
        <v>123808.91</v>
      </c>
      <c r="E399" s="364">
        <v>202825.89</v>
      </c>
      <c r="F399" s="363">
        <f>79566.44</f>
        <v>79566.44</v>
      </c>
      <c r="G399" s="363">
        <v>48512.12</v>
      </c>
      <c r="H399" s="363">
        <v>124611.55</v>
      </c>
      <c r="I399" s="365">
        <v>76809.01</v>
      </c>
      <c r="J399" s="365"/>
      <c r="K399" s="365">
        <v>1656.65</v>
      </c>
      <c r="L399" s="365">
        <v>0</v>
      </c>
      <c r="M399" s="366">
        <v>0</v>
      </c>
      <c r="N399" s="361">
        <f t="shared" si="44"/>
        <v>1184530.7699999998</v>
      </c>
      <c r="O399" s="6">
        <f>SUM(N398:N399)</f>
        <v>4005537.659999999</v>
      </c>
      <c r="S399" s="7"/>
      <c r="T399" s="7"/>
      <c r="U399" s="7"/>
      <c r="V399" s="7"/>
      <c r="W399" s="7"/>
      <c r="X399" s="7"/>
      <c r="Y399" s="6"/>
    </row>
    <row r="400" spans="1:25" ht="12.75">
      <c r="A400" s="525">
        <v>41153</v>
      </c>
      <c r="B400" s="367" t="s">
        <v>7</v>
      </c>
      <c r="C400" s="368">
        <v>1993343.54</v>
      </c>
      <c r="D400" s="368">
        <v>0</v>
      </c>
      <c r="E400" s="368">
        <v>0</v>
      </c>
      <c r="F400" s="368">
        <f>20750.62+562407.15</f>
        <v>583157.77</v>
      </c>
      <c r="G400" s="368">
        <v>12638.85</v>
      </c>
      <c r="H400" s="368">
        <v>0</v>
      </c>
      <c r="I400" s="369">
        <v>39663.73</v>
      </c>
      <c r="J400" s="369">
        <v>0</v>
      </c>
      <c r="K400" s="369">
        <v>0</v>
      </c>
      <c r="L400" s="369">
        <v>0</v>
      </c>
      <c r="M400" s="370">
        <v>0</v>
      </c>
      <c r="N400" s="371">
        <f t="shared" si="44"/>
        <v>2628803.89</v>
      </c>
      <c r="O400" s="6"/>
      <c r="S400" s="7"/>
      <c r="T400" s="7"/>
      <c r="U400" s="7"/>
      <c r="V400" s="7"/>
      <c r="W400" s="7"/>
      <c r="X400" s="7"/>
      <c r="Y400" s="6"/>
    </row>
    <row r="401" spans="1:25" ht="13.5" thickBot="1">
      <c r="A401" s="526"/>
      <c r="B401" s="372" t="s">
        <v>8</v>
      </c>
      <c r="C401" s="373">
        <v>515401.92</v>
      </c>
      <c r="D401" s="373">
        <v>118367.18</v>
      </c>
      <c r="E401" s="373">
        <v>179502.86</v>
      </c>
      <c r="F401" s="373">
        <f>120759.8</f>
        <v>120759.8</v>
      </c>
      <c r="G401" s="373">
        <v>65616.35</v>
      </c>
      <c r="H401" s="373">
        <v>178195.91</v>
      </c>
      <c r="I401" s="374">
        <v>105967.75</v>
      </c>
      <c r="J401" s="374">
        <v>32841.55</v>
      </c>
      <c r="K401" s="374">
        <v>2802.28</v>
      </c>
      <c r="L401" s="374">
        <v>0</v>
      </c>
      <c r="M401" s="375">
        <v>0</v>
      </c>
      <c r="N401" s="371">
        <f t="shared" si="44"/>
        <v>1319455.6</v>
      </c>
      <c r="O401" s="6">
        <f>SUM(N400:N401)</f>
        <v>3948259.49</v>
      </c>
      <c r="S401" s="7"/>
      <c r="T401" s="7"/>
      <c r="U401" s="7"/>
      <c r="V401" s="7"/>
      <c r="W401" s="7"/>
      <c r="X401" s="7"/>
      <c r="Y401" s="6"/>
    </row>
    <row r="402" spans="1:25" ht="12.75">
      <c r="A402" s="521">
        <v>41518</v>
      </c>
      <c r="B402" s="390" t="s">
        <v>7</v>
      </c>
      <c r="C402" s="391">
        <v>1759085.38</v>
      </c>
      <c r="D402" s="391">
        <v>0</v>
      </c>
      <c r="E402" s="391">
        <v>0</v>
      </c>
      <c r="F402" s="391">
        <f>24854.33+250471.16</f>
        <v>275325.49</v>
      </c>
      <c r="G402" s="391">
        <v>132755.79</v>
      </c>
      <c r="H402" s="391">
        <v>0</v>
      </c>
      <c r="I402" s="392">
        <v>27534.02</v>
      </c>
      <c r="J402" s="392">
        <v>0</v>
      </c>
      <c r="K402" s="392">
        <v>0</v>
      </c>
      <c r="L402" s="392">
        <v>0</v>
      </c>
      <c r="M402" s="393">
        <v>0</v>
      </c>
      <c r="N402" s="394">
        <f aca="true" t="shared" si="45" ref="N402:N431">SUM(C402:M402)</f>
        <v>2194700.6799999997</v>
      </c>
      <c r="O402" s="6"/>
      <c r="S402" s="7"/>
      <c r="T402" s="7"/>
      <c r="U402" s="7"/>
      <c r="V402" s="7"/>
      <c r="W402" s="7"/>
      <c r="X402" s="7"/>
      <c r="Y402" s="6"/>
    </row>
    <row r="403" spans="1:25" ht="13.5" thickBot="1">
      <c r="A403" s="531"/>
      <c r="B403" s="395" t="s">
        <v>8</v>
      </c>
      <c r="C403" s="396">
        <v>535430.07</v>
      </c>
      <c r="D403" s="396">
        <v>118400.78</v>
      </c>
      <c r="E403" s="396">
        <v>180683.98</v>
      </c>
      <c r="F403" s="396">
        <v>135160.81</v>
      </c>
      <c r="G403" s="396">
        <v>68795.03</v>
      </c>
      <c r="H403" s="396">
        <v>155273.47</v>
      </c>
      <c r="I403" s="397">
        <v>107283.57</v>
      </c>
      <c r="J403" s="397">
        <v>49573.21</v>
      </c>
      <c r="K403" s="397">
        <v>4047.88</v>
      </c>
      <c r="L403" s="397">
        <v>0</v>
      </c>
      <c r="M403" s="398">
        <v>0</v>
      </c>
      <c r="N403" s="394">
        <f t="shared" si="45"/>
        <v>1354648.7999999998</v>
      </c>
      <c r="O403" s="6">
        <f>SUM(N402:N403)</f>
        <v>3549349.4799999995</v>
      </c>
      <c r="S403" s="7"/>
      <c r="T403" s="7"/>
      <c r="U403" s="7"/>
      <c r="V403" s="7"/>
      <c r="W403" s="7"/>
      <c r="X403" s="7"/>
      <c r="Y403" s="6"/>
    </row>
    <row r="404" spans="1:25" ht="12.75">
      <c r="A404" s="515">
        <v>41883</v>
      </c>
      <c r="B404" s="403" t="s">
        <v>7</v>
      </c>
      <c r="C404" s="404">
        <f>1494235.7+24171.46</f>
        <v>1518407.16</v>
      </c>
      <c r="D404" s="404">
        <v>0</v>
      </c>
      <c r="E404" s="404">
        <v>0</v>
      </c>
      <c r="F404" s="404">
        <f>206930.75+12808.66</f>
        <v>219739.41</v>
      </c>
      <c r="G404" s="404">
        <v>29489.63</v>
      </c>
      <c r="H404" s="404">
        <v>0</v>
      </c>
      <c r="I404" s="405">
        <v>34136.19</v>
      </c>
      <c r="J404" s="405">
        <v>0</v>
      </c>
      <c r="K404" s="405">
        <v>0</v>
      </c>
      <c r="L404" s="405">
        <v>0</v>
      </c>
      <c r="M404" s="406">
        <v>0</v>
      </c>
      <c r="N404" s="407">
        <f t="shared" si="45"/>
        <v>1801772.3899999997</v>
      </c>
      <c r="S404" s="7"/>
      <c r="T404" s="7"/>
      <c r="U404" s="7"/>
      <c r="V404" s="7"/>
      <c r="W404" s="7"/>
      <c r="X404" s="7"/>
      <c r="Y404" s="6"/>
    </row>
    <row r="405" spans="1:25" ht="13.5" thickBot="1">
      <c r="A405" s="516"/>
      <c r="B405" s="408" t="s">
        <v>8</v>
      </c>
      <c r="C405" s="409">
        <f>556609.24+79151.88</f>
        <v>635761.12</v>
      </c>
      <c r="D405" s="409">
        <v>87368.41</v>
      </c>
      <c r="E405" s="409">
        <v>163562.27</v>
      </c>
      <c r="F405" s="409">
        <f>8262.36+119024.98</f>
        <v>127287.34</v>
      </c>
      <c r="G405" s="409">
        <v>114665.09</v>
      </c>
      <c r="H405" s="409">
        <f>169509.19</f>
        <v>169509.19</v>
      </c>
      <c r="I405" s="410">
        <v>115616.43</v>
      </c>
      <c r="J405" s="410">
        <v>62605.15</v>
      </c>
      <c r="K405" s="410">
        <v>1733.89</v>
      </c>
      <c r="L405" s="410">
        <v>0</v>
      </c>
      <c r="M405" s="411">
        <v>0</v>
      </c>
      <c r="N405" s="407">
        <f t="shared" si="45"/>
        <v>1478108.8899999997</v>
      </c>
      <c r="O405" s="6">
        <f>SUM(N404:N405)</f>
        <v>3279881.2799999993</v>
      </c>
      <c r="S405" s="7"/>
      <c r="T405" s="7"/>
      <c r="U405" s="7"/>
      <c r="V405" s="7"/>
      <c r="W405" s="7"/>
      <c r="X405" s="7"/>
      <c r="Y405" s="6"/>
    </row>
    <row r="406" spans="1:25" ht="12.75">
      <c r="A406" s="495" t="s">
        <v>123</v>
      </c>
      <c r="B406" s="416" t="s">
        <v>7</v>
      </c>
      <c r="C406" s="417">
        <f>1316478.33+9951.61</f>
        <v>1326429.9400000002</v>
      </c>
      <c r="D406" s="417">
        <v>0</v>
      </c>
      <c r="E406" s="417">
        <v>0</v>
      </c>
      <c r="F406" s="417">
        <f>29806.62+6364.53</f>
        <v>36171.15</v>
      </c>
      <c r="G406" s="417">
        <v>45360.93</v>
      </c>
      <c r="H406" s="417">
        <v>0</v>
      </c>
      <c r="I406" s="418">
        <v>18776.85</v>
      </c>
      <c r="J406" s="418"/>
      <c r="K406" s="418">
        <v>0</v>
      </c>
      <c r="L406" s="418">
        <v>0</v>
      </c>
      <c r="M406" s="419">
        <v>0</v>
      </c>
      <c r="N406" s="420">
        <f aca="true" t="shared" si="46" ref="N406:N411">SUM(C406:M406)</f>
        <v>1426738.87</v>
      </c>
      <c r="O406" s="6"/>
      <c r="S406" s="7"/>
      <c r="T406" s="7"/>
      <c r="U406" s="7"/>
      <c r="V406" s="7"/>
      <c r="W406" s="7"/>
      <c r="X406" s="7"/>
      <c r="Y406" s="6"/>
    </row>
    <row r="407" spans="1:25" ht="13.5" thickBot="1">
      <c r="A407" s="496"/>
      <c r="B407" s="421" t="s">
        <v>8</v>
      </c>
      <c r="C407" s="422">
        <f>650817.26+97123.35</f>
        <v>747940.61</v>
      </c>
      <c r="D407" s="422">
        <v>83325.72</v>
      </c>
      <c r="E407" s="423">
        <v>143825.22</v>
      </c>
      <c r="F407" s="422">
        <f>115378+101404.21</f>
        <v>216782.21000000002</v>
      </c>
      <c r="G407" s="422">
        <v>136453.56999999998</v>
      </c>
      <c r="H407" s="422">
        <v>287095.6</v>
      </c>
      <c r="I407" s="424">
        <v>125326.94</v>
      </c>
      <c r="J407" s="424">
        <v>62542.96</v>
      </c>
      <c r="K407" s="424">
        <v>3165.01</v>
      </c>
      <c r="L407" s="424">
        <v>0</v>
      </c>
      <c r="M407" s="425">
        <v>0</v>
      </c>
      <c r="N407" s="420">
        <f t="shared" si="46"/>
        <v>1806457.84</v>
      </c>
      <c r="O407" s="6">
        <f>SUM(N406:N407)</f>
        <v>3233196.71</v>
      </c>
      <c r="S407" s="7"/>
      <c r="T407" s="7"/>
      <c r="U407" s="7"/>
      <c r="V407" s="7"/>
      <c r="W407" s="7"/>
      <c r="X407" s="7"/>
      <c r="Y407" s="6"/>
    </row>
    <row r="408" spans="1:25" ht="12.75">
      <c r="A408" s="511" t="s">
        <v>136</v>
      </c>
      <c r="B408" s="427" t="s">
        <v>7</v>
      </c>
      <c r="C408" s="428">
        <v>1453523.2499999888</v>
      </c>
      <c r="D408" s="428">
        <v>0</v>
      </c>
      <c r="E408" s="428">
        <v>0</v>
      </c>
      <c r="F408" s="428">
        <v>83214.8</v>
      </c>
      <c r="G408" s="428">
        <v>27660.37</v>
      </c>
      <c r="H408" s="428">
        <v>0</v>
      </c>
      <c r="I408" s="429">
        <v>4319.21</v>
      </c>
      <c r="J408" s="429">
        <v>0</v>
      </c>
      <c r="K408" s="429">
        <v>0</v>
      </c>
      <c r="L408" s="429">
        <v>0</v>
      </c>
      <c r="M408" s="430">
        <v>0</v>
      </c>
      <c r="N408" s="431">
        <f t="shared" si="46"/>
        <v>1568717.629999989</v>
      </c>
      <c r="O408" s="6"/>
      <c r="S408" s="7"/>
      <c r="T408" s="7"/>
      <c r="U408" s="7"/>
      <c r="V408" s="7"/>
      <c r="W408" s="7"/>
      <c r="X408" s="7"/>
      <c r="Y408" s="6"/>
    </row>
    <row r="409" spans="1:25" ht="13.5" thickBot="1">
      <c r="A409" s="512"/>
      <c r="B409" s="432" t="s">
        <v>8</v>
      </c>
      <c r="C409" s="433">
        <v>1031388.6599999986</v>
      </c>
      <c r="D409" s="433">
        <v>105714.11</v>
      </c>
      <c r="E409" s="434">
        <v>178226.23</v>
      </c>
      <c r="F409" s="433">
        <v>144781.15</v>
      </c>
      <c r="G409" s="433">
        <v>130312.69</v>
      </c>
      <c r="H409" s="433">
        <v>348248.85</v>
      </c>
      <c r="I409" s="435">
        <v>203187.8</v>
      </c>
      <c r="J409" s="435">
        <v>80399.99</v>
      </c>
      <c r="K409" s="435">
        <v>2324.84</v>
      </c>
      <c r="L409" s="435">
        <v>0</v>
      </c>
      <c r="M409" s="436">
        <v>0</v>
      </c>
      <c r="N409" s="431">
        <f t="shared" si="46"/>
        <v>2224584.3199999984</v>
      </c>
      <c r="O409" s="6">
        <f>SUM(N408:N409)</f>
        <v>3793301.949999987</v>
      </c>
      <c r="S409" s="7"/>
      <c r="T409" s="7"/>
      <c r="U409" s="7"/>
      <c r="V409" s="7"/>
      <c r="W409" s="7"/>
      <c r="X409" s="7"/>
      <c r="Y409" s="6"/>
    </row>
    <row r="410" spans="1:25" ht="12.75">
      <c r="A410" s="500" t="s">
        <v>148</v>
      </c>
      <c r="B410" s="438" t="s">
        <v>7</v>
      </c>
      <c r="C410" s="439">
        <v>1302654.299999993</v>
      </c>
      <c r="D410" s="439">
        <v>0</v>
      </c>
      <c r="E410" s="440">
        <v>0</v>
      </c>
      <c r="F410" s="439">
        <v>142856.07</v>
      </c>
      <c r="G410" s="439">
        <v>50999.17</v>
      </c>
      <c r="H410" s="439">
        <v>0</v>
      </c>
      <c r="I410" s="441">
        <v>805.15</v>
      </c>
      <c r="J410" s="441">
        <v>0</v>
      </c>
      <c r="K410" s="441">
        <v>0</v>
      </c>
      <c r="L410" s="441">
        <v>0</v>
      </c>
      <c r="M410" s="442">
        <v>0</v>
      </c>
      <c r="N410" s="443">
        <f t="shared" si="46"/>
        <v>1497314.689999993</v>
      </c>
      <c r="O410" s="6"/>
      <c r="S410" s="7"/>
      <c r="T410" s="7"/>
      <c r="U410" s="7"/>
      <c r="V410" s="7"/>
      <c r="W410" s="7"/>
      <c r="X410" s="7"/>
      <c r="Y410" s="6"/>
    </row>
    <row r="411" spans="1:25" ht="13.5" thickBot="1">
      <c r="A411" s="501"/>
      <c r="B411" s="444" t="s">
        <v>8</v>
      </c>
      <c r="C411" s="445">
        <v>910334.57</v>
      </c>
      <c r="D411" s="445">
        <v>157789.17</v>
      </c>
      <c r="E411" s="446">
        <v>217214.41</v>
      </c>
      <c r="F411" s="445">
        <v>94481.85</v>
      </c>
      <c r="G411" s="445">
        <v>75954.72</v>
      </c>
      <c r="H411" s="445">
        <v>273028.03</v>
      </c>
      <c r="I411" s="447">
        <v>196556.1</v>
      </c>
      <c r="J411" s="447">
        <v>57778.58</v>
      </c>
      <c r="K411" s="447">
        <v>3119.4</v>
      </c>
      <c r="L411" s="447">
        <v>0</v>
      </c>
      <c r="M411" s="448">
        <v>0</v>
      </c>
      <c r="N411" s="443">
        <f t="shared" si="46"/>
        <v>1986256.83</v>
      </c>
      <c r="O411" s="6">
        <f>SUM(N410:N411)</f>
        <v>3483571.519999993</v>
      </c>
      <c r="S411" s="7"/>
      <c r="T411" s="7"/>
      <c r="U411" s="7"/>
      <c r="V411" s="7"/>
      <c r="W411" s="7"/>
      <c r="X411" s="7"/>
      <c r="Y411" s="6"/>
    </row>
    <row r="412" spans="1:25" ht="12.75">
      <c r="A412" s="508" t="s">
        <v>163</v>
      </c>
      <c r="B412" s="449" t="s">
        <v>7</v>
      </c>
      <c r="C412" s="450">
        <v>1088199.01</v>
      </c>
      <c r="D412" s="450">
        <v>0</v>
      </c>
      <c r="E412" s="451">
        <v>0</v>
      </c>
      <c r="F412" s="450">
        <v>39497.4</v>
      </c>
      <c r="G412" s="450">
        <v>50433.43</v>
      </c>
      <c r="H412" s="450">
        <v>0</v>
      </c>
      <c r="I412" s="452">
        <v>206.21</v>
      </c>
      <c r="J412" s="452">
        <v>0</v>
      </c>
      <c r="K412" s="452">
        <v>0</v>
      </c>
      <c r="L412" s="452">
        <v>0</v>
      </c>
      <c r="M412" s="453">
        <v>0</v>
      </c>
      <c r="N412" s="454">
        <f aca="true" t="shared" si="47" ref="N412:N417">SUM(C412:M412)</f>
        <v>1178336.0499999998</v>
      </c>
      <c r="O412" s="6"/>
      <c r="S412" s="7"/>
      <c r="T412" s="7"/>
      <c r="U412" s="7"/>
      <c r="V412" s="7"/>
      <c r="W412" s="7"/>
      <c r="X412" s="7"/>
      <c r="Y412" s="6"/>
    </row>
    <row r="413" spans="1:25" ht="13.5" thickBot="1">
      <c r="A413" s="509"/>
      <c r="B413" s="455" t="s">
        <v>8</v>
      </c>
      <c r="C413" s="456">
        <v>1103108.7</v>
      </c>
      <c r="D413" s="456">
        <v>132946.27</v>
      </c>
      <c r="E413" s="457">
        <v>260638.23</v>
      </c>
      <c r="F413" s="456">
        <v>103423.56</v>
      </c>
      <c r="G413" s="456">
        <v>134758.95</v>
      </c>
      <c r="H413" s="456">
        <v>396872.17</v>
      </c>
      <c r="I413" s="458">
        <v>215373.76</v>
      </c>
      <c r="J413" s="458">
        <v>72208.38</v>
      </c>
      <c r="K413" s="458">
        <v>5059.22</v>
      </c>
      <c r="L413" s="458">
        <v>0</v>
      </c>
      <c r="M413" s="459">
        <v>0</v>
      </c>
      <c r="N413" s="454">
        <f t="shared" si="47"/>
        <v>2424389.2399999998</v>
      </c>
      <c r="O413" s="6">
        <f>SUM(N412:N413)</f>
        <v>3602725.2899999996</v>
      </c>
      <c r="S413" s="7"/>
      <c r="T413" s="7"/>
      <c r="U413" s="7"/>
      <c r="V413" s="7"/>
      <c r="W413" s="7"/>
      <c r="X413" s="7"/>
      <c r="Y413" s="6"/>
    </row>
    <row r="414" spans="1:25" ht="12.75">
      <c r="A414" s="498" t="s">
        <v>178</v>
      </c>
      <c r="B414" s="462" t="s">
        <v>7</v>
      </c>
      <c r="C414" s="463">
        <v>981721.6799999985</v>
      </c>
      <c r="D414" s="463"/>
      <c r="E414" s="464"/>
      <c r="F414" s="463">
        <v>45985.12</v>
      </c>
      <c r="G414" s="463">
        <v>36167.89</v>
      </c>
      <c r="H414" s="463"/>
      <c r="I414" s="465">
        <v>96.86</v>
      </c>
      <c r="J414" s="465"/>
      <c r="K414" s="465"/>
      <c r="L414" s="465">
        <v>0</v>
      </c>
      <c r="M414" s="466">
        <v>0</v>
      </c>
      <c r="N414" s="467">
        <f t="shared" si="47"/>
        <v>1063971.5499999986</v>
      </c>
      <c r="O414" s="6"/>
      <c r="S414" s="7"/>
      <c r="T414" s="7"/>
      <c r="U414" s="7"/>
      <c r="V414" s="7"/>
      <c r="W414" s="7"/>
      <c r="X414" s="7"/>
      <c r="Y414" s="6"/>
    </row>
    <row r="415" spans="1:25" ht="13.5" thickBot="1">
      <c r="A415" s="499"/>
      <c r="B415" s="468" t="s">
        <v>8</v>
      </c>
      <c r="C415" s="469">
        <v>1044264.290000001</v>
      </c>
      <c r="D415" s="469">
        <v>152759.66</v>
      </c>
      <c r="E415" s="470">
        <v>201094.94</v>
      </c>
      <c r="F415" s="469">
        <v>118663.67</v>
      </c>
      <c r="G415" s="469">
        <v>92400.23</v>
      </c>
      <c r="H415" s="469">
        <v>370005.34</v>
      </c>
      <c r="I415" s="471">
        <v>205244.36</v>
      </c>
      <c r="J415" s="471"/>
      <c r="K415" s="471">
        <v>5312.97</v>
      </c>
      <c r="L415" s="471">
        <v>0</v>
      </c>
      <c r="M415" s="472">
        <v>0</v>
      </c>
      <c r="N415" s="467">
        <f t="shared" si="47"/>
        <v>2189745.460000001</v>
      </c>
      <c r="O415" s="6">
        <f>SUM(N414:N415)</f>
        <v>3253717.01</v>
      </c>
      <c r="S415" s="7"/>
      <c r="T415" s="7"/>
      <c r="U415" s="7"/>
      <c r="V415" s="7"/>
      <c r="W415" s="7"/>
      <c r="X415" s="7"/>
      <c r="Y415" s="6"/>
    </row>
    <row r="416" spans="1:25" ht="12.75">
      <c r="A416" s="493" t="s">
        <v>188</v>
      </c>
      <c r="B416" s="473" t="s">
        <v>7</v>
      </c>
      <c r="C416" s="474">
        <v>0</v>
      </c>
      <c r="D416" s="474">
        <v>0</v>
      </c>
      <c r="E416" s="474">
        <v>0</v>
      </c>
      <c r="F416" s="474">
        <v>0</v>
      </c>
      <c r="G416" s="474">
        <v>0</v>
      </c>
      <c r="H416" s="474">
        <v>0</v>
      </c>
      <c r="I416" s="475">
        <v>47.31</v>
      </c>
      <c r="J416" s="475">
        <v>0</v>
      </c>
      <c r="K416" s="475">
        <v>0</v>
      </c>
      <c r="L416" s="475">
        <v>0</v>
      </c>
      <c r="M416" s="476">
        <v>0</v>
      </c>
      <c r="N416" s="477">
        <f t="shared" si="47"/>
        <v>47.31</v>
      </c>
      <c r="O416" s="6"/>
      <c r="S416" s="7"/>
      <c r="T416" s="7"/>
      <c r="U416" s="7"/>
      <c r="V416" s="7"/>
      <c r="W416" s="7"/>
      <c r="X416" s="7"/>
      <c r="Y416" s="6"/>
    </row>
    <row r="417" spans="1:25" ht="13.5" thickBot="1">
      <c r="A417" s="494"/>
      <c r="B417" s="478" t="s">
        <v>8</v>
      </c>
      <c r="C417" s="479">
        <v>571626.44</v>
      </c>
      <c r="D417" s="479">
        <v>133050.37</v>
      </c>
      <c r="E417" s="480">
        <v>133056.79</v>
      </c>
      <c r="F417" s="479">
        <v>28295.32</v>
      </c>
      <c r="G417" s="479">
        <v>19968.57</v>
      </c>
      <c r="H417" s="479">
        <v>315185.22</v>
      </c>
      <c r="I417" s="481">
        <v>124362.68</v>
      </c>
      <c r="J417" s="481">
        <v>0</v>
      </c>
      <c r="K417" s="481">
        <v>137.53</v>
      </c>
      <c r="L417" s="481">
        <v>0</v>
      </c>
      <c r="M417" s="482">
        <v>0</v>
      </c>
      <c r="N417" s="477">
        <f t="shared" si="47"/>
        <v>1325682.92</v>
      </c>
      <c r="O417" s="6">
        <f>SUM(N416:N417)</f>
        <v>1325730.23</v>
      </c>
      <c r="S417" s="7"/>
      <c r="T417" s="7"/>
      <c r="U417" s="7"/>
      <c r="V417" s="7"/>
      <c r="W417" s="7"/>
      <c r="X417" s="7"/>
      <c r="Y417" s="6"/>
    </row>
    <row r="418" spans="1:25" ht="12.75">
      <c r="A418" s="538" t="s">
        <v>202</v>
      </c>
      <c r="B418" s="483" t="s">
        <v>7</v>
      </c>
      <c r="C418" s="484">
        <v>0</v>
      </c>
      <c r="D418" s="484">
        <v>0</v>
      </c>
      <c r="E418" s="484">
        <v>0</v>
      </c>
      <c r="F418" s="484">
        <v>0</v>
      </c>
      <c r="G418" s="484">
        <v>0</v>
      </c>
      <c r="H418" s="484">
        <v>0</v>
      </c>
      <c r="I418" s="485"/>
      <c r="J418" s="485">
        <v>0</v>
      </c>
      <c r="K418" s="485">
        <v>0</v>
      </c>
      <c r="L418" s="485">
        <v>0</v>
      </c>
      <c r="M418" s="486">
        <v>0</v>
      </c>
      <c r="N418" s="487">
        <f>SUM(C418:M418)</f>
        <v>0</v>
      </c>
      <c r="O418" s="6"/>
      <c r="S418" s="7"/>
      <c r="T418" s="7"/>
      <c r="U418" s="7"/>
      <c r="V418" s="7"/>
      <c r="W418" s="7"/>
      <c r="X418" s="7"/>
      <c r="Y418" s="6"/>
    </row>
    <row r="419" spans="1:25" ht="13.5" thickBot="1">
      <c r="A419" s="539"/>
      <c r="B419" s="488" t="s">
        <v>8</v>
      </c>
      <c r="C419" s="489"/>
      <c r="D419" s="489"/>
      <c r="E419" s="490"/>
      <c r="F419" s="489"/>
      <c r="G419" s="489"/>
      <c r="H419" s="489"/>
      <c r="I419" s="491"/>
      <c r="J419" s="491">
        <v>0</v>
      </c>
      <c r="K419" s="491"/>
      <c r="L419" s="491">
        <v>0</v>
      </c>
      <c r="M419" s="492">
        <v>0</v>
      </c>
      <c r="N419" s="487">
        <f>SUM(C419:M419)</f>
        <v>0</v>
      </c>
      <c r="O419" s="6">
        <f>SUM(N418:N419)</f>
        <v>0</v>
      </c>
      <c r="S419" s="7"/>
      <c r="T419" s="7"/>
      <c r="U419" s="7"/>
      <c r="V419" s="7"/>
      <c r="W419" s="7"/>
      <c r="X419" s="7"/>
      <c r="Y419" s="6"/>
    </row>
    <row r="420" spans="1:14" ht="12.75">
      <c r="A420" s="504">
        <v>36434</v>
      </c>
      <c r="B420" s="34" t="s">
        <v>7</v>
      </c>
      <c r="C420" s="87">
        <v>1247990.01</v>
      </c>
      <c r="D420" s="87">
        <v>119697.14</v>
      </c>
      <c r="E420" s="87">
        <v>21943.17</v>
      </c>
      <c r="F420" s="87">
        <v>3590599</v>
      </c>
      <c r="G420" s="87"/>
      <c r="H420" s="87"/>
      <c r="I420" s="107">
        <v>2153.9</v>
      </c>
      <c r="J420" s="107"/>
      <c r="K420" s="107"/>
      <c r="L420" s="107"/>
      <c r="M420" s="35">
        <v>95259.87</v>
      </c>
      <c r="N420" s="5">
        <f t="shared" si="45"/>
        <v>5077643.090000001</v>
      </c>
    </row>
    <row r="421" spans="1:15" ht="12.75">
      <c r="A421" s="505"/>
      <c r="B421" s="36" t="s">
        <v>8</v>
      </c>
      <c r="C421" s="88">
        <v>65583.48</v>
      </c>
      <c r="D421" s="88">
        <v>0</v>
      </c>
      <c r="E421" s="88">
        <v>123.98</v>
      </c>
      <c r="F421" s="88">
        <v>0</v>
      </c>
      <c r="G421" s="88"/>
      <c r="H421" s="88"/>
      <c r="I421" s="108">
        <v>169.34</v>
      </c>
      <c r="J421" s="108"/>
      <c r="K421" s="108"/>
      <c r="L421" s="108"/>
      <c r="M421" s="37">
        <v>0</v>
      </c>
      <c r="N421" s="5">
        <f t="shared" si="45"/>
        <v>65876.79999999999</v>
      </c>
      <c r="O421" s="6">
        <f>SUM(N420:N421)</f>
        <v>5143519.890000001</v>
      </c>
    </row>
    <row r="422" spans="1:14" ht="12.75">
      <c r="A422" s="529">
        <v>36800</v>
      </c>
      <c r="B422" s="38" t="s">
        <v>7</v>
      </c>
      <c r="C422" s="89">
        <f>'[1]2000'!C26</f>
        <v>1639766.8</v>
      </c>
      <c r="D422" s="89">
        <f>'[1]2000'!D26</f>
        <v>70632.88</v>
      </c>
      <c r="E422" s="89">
        <f>'[1]2000'!E26</f>
        <v>33959.87</v>
      </c>
      <c r="F422" s="89">
        <f>'[1]2000'!F26</f>
        <v>3536266</v>
      </c>
      <c r="G422" s="89"/>
      <c r="H422" s="89"/>
      <c r="I422" s="109">
        <f>'[1]2000'!G26</f>
        <v>60196.5</v>
      </c>
      <c r="J422" s="109"/>
      <c r="K422" s="109"/>
      <c r="L422" s="109"/>
      <c r="M422" s="39">
        <f>'[1]2000'!H26</f>
        <v>83320</v>
      </c>
      <c r="N422" s="8">
        <f t="shared" si="45"/>
        <v>5424142.050000001</v>
      </c>
    </row>
    <row r="423" spans="1:15" ht="12.75">
      <c r="A423" s="530"/>
      <c r="B423" s="40" t="s">
        <v>8</v>
      </c>
      <c r="C423" s="82">
        <f>'[1]2000'!C27</f>
        <v>86303.52</v>
      </c>
      <c r="D423" s="82">
        <f>'[1]2000'!D27</f>
        <v>0</v>
      </c>
      <c r="E423" s="82">
        <f>'[1]2000'!E27</f>
        <v>12652.65</v>
      </c>
      <c r="F423" s="82">
        <f>'[1]2000'!F27</f>
        <v>104307.75</v>
      </c>
      <c r="G423" s="82"/>
      <c r="H423" s="82"/>
      <c r="I423" s="104">
        <f>'[1]2000'!G27</f>
        <v>58048.51</v>
      </c>
      <c r="J423" s="104"/>
      <c r="K423" s="104"/>
      <c r="L423" s="104"/>
      <c r="M423" s="41">
        <f>'[1]2000'!H27</f>
        <v>2030.83</v>
      </c>
      <c r="N423" s="8">
        <f t="shared" si="45"/>
        <v>263343.26</v>
      </c>
      <c r="O423" s="6">
        <f>SUM(N422:N423)</f>
        <v>5687485.3100000005</v>
      </c>
    </row>
    <row r="424" spans="1:15" ht="12.75">
      <c r="A424" s="497">
        <f>A422+366</f>
        <v>37166</v>
      </c>
      <c r="B424" s="26" t="s">
        <v>7</v>
      </c>
      <c r="C424" s="83">
        <v>1458733.09</v>
      </c>
      <c r="D424" s="83">
        <v>45730.91</v>
      </c>
      <c r="E424" s="83">
        <v>8030.72</v>
      </c>
      <c r="F424" s="83">
        <v>4467214.82</v>
      </c>
      <c r="G424" s="83"/>
      <c r="H424" s="83"/>
      <c r="I424" s="105">
        <v>4249.12</v>
      </c>
      <c r="J424" s="105"/>
      <c r="K424" s="105"/>
      <c r="L424" s="105"/>
      <c r="M424" s="27">
        <v>59631.53</v>
      </c>
      <c r="N424" s="9">
        <f t="shared" si="45"/>
        <v>6043590.19</v>
      </c>
      <c r="O424" s="6"/>
    </row>
    <row r="425" spans="1:15" ht="12.75">
      <c r="A425" s="497"/>
      <c r="B425" s="28" t="s">
        <v>8</v>
      </c>
      <c r="C425" s="84">
        <v>76775.43</v>
      </c>
      <c r="D425" s="84">
        <v>50139.25</v>
      </c>
      <c r="E425" s="84">
        <v>385.52</v>
      </c>
      <c r="F425" s="84">
        <v>107652.25</v>
      </c>
      <c r="G425" s="84"/>
      <c r="H425" s="84"/>
      <c r="I425" s="20">
        <v>110055.29</v>
      </c>
      <c r="J425" s="20"/>
      <c r="K425" s="20"/>
      <c r="L425" s="20"/>
      <c r="M425" s="29">
        <v>2068.02</v>
      </c>
      <c r="N425" s="9">
        <f t="shared" si="45"/>
        <v>347075.76</v>
      </c>
      <c r="O425" s="6">
        <f>SUM(N424:N425)</f>
        <v>6390665.95</v>
      </c>
    </row>
    <row r="426" spans="1:15" ht="12.75">
      <c r="A426" s="534">
        <v>37530</v>
      </c>
      <c r="B426" s="30" t="s">
        <v>7</v>
      </c>
      <c r="C426" s="85">
        <v>1057872.92</v>
      </c>
      <c r="D426" s="85">
        <v>94171.2</v>
      </c>
      <c r="E426" s="85">
        <v>0</v>
      </c>
      <c r="F426" s="85">
        <f>3779854+1887.21</f>
        <v>3781741.21</v>
      </c>
      <c r="G426" s="85"/>
      <c r="H426" s="85"/>
      <c r="I426" s="106">
        <v>120277.75</v>
      </c>
      <c r="J426" s="106"/>
      <c r="K426" s="106"/>
      <c r="L426" s="106"/>
      <c r="M426" s="31">
        <v>32763.5</v>
      </c>
      <c r="N426" s="19">
        <f t="shared" si="45"/>
        <v>5086826.58</v>
      </c>
      <c r="O426" s="6"/>
    </row>
    <row r="427" spans="1:15" ht="12.75">
      <c r="A427" s="534"/>
      <c r="B427" s="32" t="s">
        <v>8</v>
      </c>
      <c r="C427" s="86">
        <v>69605.04</v>
      </c>
      <c r="D427" s="86">
        <v>81196.6</v>
      </c>
      <c r="E427" s="86">
        <v>10617.3</v>
      </c>
      <c r="F427" s="86">
        <v>67199.54</v>
      </c>
      <c r="G427" s="86"/>
      <c r="H427" s="86">
        <v>2330.01</v>
      </c>
      <c r="I427" s="22">
        <v>115183.08</v>
      </c>
      <c r="J427" s="22"/>
      <c r="K427" s="22"/>
      <c r="L427" s="22"/>
      <c r="M427" s="33">
        <v>21116.49</v>
      </c>
      <c r="N427" s="19">
        <f t="shared" si="45"/>
        <v>367248.06</v>
      </c>
      <c r="O427" s="6">
        <f>SUM(N426:N427)</f>
        <v>5454074.64</v>
      </c>
    </row>
    <row r="428" spans="1:15" ht="12.75">
      <c r="A428" s="519">
        <v>37895</v>
      </c>
      <c r="B428" s="115" t="s">
        <v>7</v>
      </c>
      <c r="C428" s="116">
        <v>1252666.4</v>
      </c>
      <c r="D428" s="116">
        <v>163490.68</v>
      </c>
      <c r="E428" s="116">
        <v>0</v>
      </c>
      <c r="F428" s="116">
        <f>39935.94+4777425.06</f>
        <v>4817361</v>
      </c>
      <c r="G428" s="116"/>
      <c r="H428" s="116"/>
      <c r="I428" s="117">
        <v>47842.28</v>
      </c>
      <c r="J428" s="117"/>
      <c r="K428" s="117"/>
      <c r="L428" s="117"/>
      <c r="M428" s="118">
        <v>59291.21</v>
      </c>
      <c r="N428" s="113">
        <f t="shared" si="45"/>
        <v>6340651.57</v>
      </c>
      <c r="O428" s="6"/>
    </row>
    <row r="429" spans="1:15" ht="13.5" thickBot="1">
      <c r="A429" s="520"/>
      <c r="B429" s="119" t="s">
        <v>8</v>
      </c>
      <c r="C429" s="120">
        <v>169060.32</v>
      </c>
      <c r="D429" s="120">
        <v>143413.35</v>
      </c>
      <c r="E429" s="120">
        <v>94921.34</v>
      </c>
      <c r="F429" s="120">
        <v>170548.63</v>
      </c>
      <c r="G429" s="120"/>
      <c r="H429" s="120">
        <v>15111.35</v>
      </c>
      <c r="I429" s="121">
        <v>212612.04</v>
      </c>
      <c r="J429" s="121"/>
      <c r="K429" s="121"/>
      <c r="L429" s="121"/>
      <c r="M429" s="67">
        <v>11496.96</v>
      </c>
      <c r="N429" s="113">
        <f t="shared" si="45"/>
        <v>817163.99</v>
      </c>
      <c r="O429" s="6">
        <f>SUM(N428:N429)</f>
        <v>7157815.5600000005</v>
      </c>
    </row>
    <row r="430" spans="1:15" ht="12.75">
      <c r="A430" s="523">
        <v>38261</v>
      </c>
      <c r="B430" s="214" t="s">
        <v>7</v>
      </c>
      <c r="C430" s="215">
        <v>1412779.61</v>
      </c>
      <c r="D430" s="215">
        <v>163571.05</v>
      </c>
      <c r="E430" s="215"/>
      <c r="F430" s="215">
        <f>50349.16+5361873.24</f>
        <v>5412222.4</v>
      </c>
      <c r="G430" s="215"/>
      <c r="H430" s="215"/>
      <c r="I430" s="216">
        <v>177141.55</v>
      </c>
      <c r="J430" s="216"/>
      <c r="K430" s="216"/>
      <c r="L430" s="216"/>
      <c r="M430" s="217">
        <v>131113.33</v>
      </c>
      <c r="N430" s="218">
        <f t="shared" si="45"/>
        <v>7296827.94</v>
      </c>
      <c r="O430" s="6"/>
    </row>
    <row r="431" spans="1:15" ht="13.5" thickBot="1">
      <c r="A431" s="524"/>
      <c r="B431" s="223" t="s">
        <v>8</v>
      </c>
      <c r="C431" s="224">
        <v>279886.7</v>
      </c>
      <c r="D431" s="224">
        <v>166414.69</v>
      </c>
      <c r="E431" s="225">
        <v>36002.17</v>
      </c>
      <c r="F431" s="224">
        <f>260810.86</f>
        <v>260810.86</v>
      </c>
      <c r="G431" s="224"/>
      <c r="H431" s="224">
        <v>65428.35</v>
      </c>
      <c r="I431" s="226">
        <v>268460.33</v>
      </c>
      <c r="J431" s="226"/>
      <c r="K431" s="226"/>
      <c r="L431" s="226">
        <v>62937</v>
      </c>
      <c r="M431" s="227">
        <v>6417.52</v>
      </c>
      <c r="N431" s="218">
        <f t="shared" si="45"/>
        <v>1146357.6199999999</v>
      </c>
      <c r="O431" s="6">
        <f>SUM(N430:N431)</f>
        <v>8443185.56</v>
      </c>
    </row>
    <row r="432" spans="1:15" ht="12.75">
      <c r="A432" s="517">
        <v>38626</v>
      </c>
      <c r="B432" s="274" t="s">
        <v>7</v>
      </c>
      <c r="C432" s="275">
        <f>1317683.18</f>
        <v>1317683.18</v>
      </c>
      <c r="D432" s="275">
        <v>192822.74</v>
      </c>
      <c r="E432" s="275"/>
      <c r="F432" s="275">
        <f>8253.74+4891056.19</f>
        <v>4899309.930000001</v>
      </c>
      <c r="G432" s="275">
        <v>0</v>
      </c>
      <c r="H432" s="275"/>
      <c r="I432" s="276">
        <v>129020.74</v>
      </c>
      <c r="J432" s="276"/>
      <c r="K432" s="276"/>
      <c r="L432" s="276"/>
      <c r="M432" s="277">
        <v>74315.84</v>
      </c>
      <c r="N432" s="273">
        <f aca="true" t="shared" si="48" ref="N432:N437">SUM(C432:M432)</f>
        <v>6613152.430000001</v>
      </c>
      <c r="O432" s="6"/>
    </row>
    <row r="433" spans="1:15" ht="13.5" thickBot="1">
      <c r="A433" s="518"/>
      <c r="B433" s="282" t="s">
        <v>8</v>
      </c>
      <c r="C433" s="283">
        <f>101641.1+51771.45-5082.06</f>
        <v>148330.49</v>
      </c>
      <c r="D433" s="283">
        <v>64324.01</v>
      </c>
      <c r="E433" s="284">
        <v>36602.16</v>
      </c>
      <c r="F433" s="283">
        <f>165043.24</f>
        <v>165043.24</v>
      </c>
      <c r="G433" s="283">
        <v>29877.59</v>
      </c>
      <c r="H433" s="283">
        <v>47668.9</v>
      </c>
      <c r="I433" s="285">
        <v>88499</v>
      </c>
      <c r="J433" s="285"/>
      <c r="K433" s="285"/>
      <c r="L433" s="285">
        <v>8423</v>
      </c>
      <c r="M433" s="286">
        <v>3198.44</v>
      </c>
      <c r="N433" s="273">
        <f t="shared" si="48"/>
        <v>591966.8300000001</v>
      </c>
      <c r="O433" s="6">
        <f>SUM(N432:N433)</f>
        <v>7205119.260000001</v>
      </c>
    </row>
    <row r="434" spans="1:15" ht="12.75">
      <c r="A434" s="527">
        <v>38991</v>
      </c>
      <c r="B434" s="289" t="s">
        <v>7</v>
      </c>
      <c r="C434" s="290">
        <v>1373207.29</v>
      </c>
      <c r="D434" s="290">
        <v>613.11</v>
      </c>
      <c r="E434" s="290"/>
      <c r="F434" s="290">
        <f>3812208.17+16487.17</f>
        <v>3828695.34</v>
      </c>
      <c r="G434" s="290"/>
      <c r="H434" s="290"/>
      <c r="I434" s="291">
        <v>54568.39</v>
      </c>
      <c r="J434" s="291"/>
      <c r="K434" s="291"/>
      <c r="L434" s="291"/>
      <c r="M434" s="292">
        <v>87384.42</v>
      </c>
      <c r="N434" s="293">
        <f t="shared" si="48"/>
        <v>5344468.55</v>
      </c>
      <c r="O434" s="6"/>
    </row>
    <row r="435" spans="1:15" ht="13.5" thickBot="1">
      <c r="A435" s="528"/>
      <c r="B435" s="299" t="s">
        <v>8</v>
      </c>
      <c r="C435" s="300">
        <f>291391.79-14569.59</f>
        <v>276822.19999999995</v>
      </c>
      <c r="D435" s="300">
        <v>328078.94</v>
      </c>
      <c r="E435" s="301">
        <v>155395.42</v>
      </c>
      <c r="F435" s="300">
        <v>192011.6</v>
      </c>
      <c r="G435" s="300">
        <v>68187.26</v>
      </c>
      <c r="H435" s="300">
        <v>93794.36</v>
      </c>
      <c r="I435" s="302">
        <v>132265.42</v>
      </c>
      <c r="J435" s="302"/>
      <c r="K435" s="302"/>
      <c r="L435" s="302">
        <v>0</v>
      </c>
      <c r="M435" s="303">
        <v>3503.89</v>
      </c>
      <c r="N435" s="293">
        <f t="shared" si="48"/>
        <v>1250059.0899999999</v>
      </c>
      <c r="O435" s="6">
        <f>SUM(N434:N435)</f>
        <v>6594527.64</v>
      </c>
    </row>
    <row r="436" spans="1:15" ht="12.75">
      <c r="A436" s="502" t="s">
        <v>48</v>
      </c>
      <c r="B436" s="305" t="s">
        <v>7</v>
      </c>
      <c r="C436" s="306">
        <f>1401139.6</f>
        <v>1401139.6</v>
      </c>
      <c r="D436" s="306">
        <f>209551.58</f>
        <v>209551.58</v>
      </c>
      <c r="E436" s="306">
        <v>0</v>
      </c>
      <c r="F436" s="306">
        <f>5173.35+4447091.9</f>
        <v>4452265.25</v>
      </c>
      <c r="G436" s="306">
        <f>-49.19</f>
        <v>-49.19</v>
      </c>
      <c r="H436" s="306"/>
      <c r="I436" s="307">
        <v>70485.55</v>
      </c>
      <c r="J436" s="307"/>
      <c r="K436" s="307"/>
      <c r="L436" s="307">
        <v>0</v>
      </c>
      <c r="M436" s="308">
        <v>43776.2</v>
      </c>
      <c r="N436" s="304">
        <f t="shared" si="48"/>
        <v>6177168.989999999</v>
      </c>
      <c r="O436" s="6"/>
    </row>
    <row r="437" spans="1:15" ht="13.5" thickBot="1">
      <c r="A437" s="503"/>
      <c r="B437" s="313" t="s">
        <v>8</v>
      </c>
      <c r="C437" s="309">
        <f>373946.52</f>
        <v>373946.52</v>
      </c>
      <c r="D437" s="309">
        <f>125593.28</f>
        <v>125593.28</v>
      </c>
      <c r="E437" s="310">
        <f>167903.48</f>
        <v>167903.48</v>
      </c>
      <c r="F437" s="309">
        <f>93935.31</f>
        <v>93935.31</v>
      </c>
      <c r="G437" s="309">
        <f>90953.33</f>
        <v>90953.33</v>
      </c>
      <c r="H437" s="309">
        <f>189141.41</f>
        <v>189141.41</v>
      </c>
      <c r="I437" s="311">
        <v>97587.49</v>
      </c>
      <c r="J437" s="311"/>
      <c r="K437" s="311"/>
      <c r="L437" s="311">
        <v>0</v>
      </c>
      <c r="M437" s="312">
        <v>9278.28</v>
      </c>
      <c r="N437" s="304">
        <f t="shared" si="48"/>
        <v>1148339.1</v>
      </c>
      <c r="O437" s="6">
        <f>SUM(N436:N437)</f>
        <v>7325508.09</v>
      </c>
    </row>
    <row r="438" spans="1:25" ht="12.75">
      <c r="A438" s="511" t="s">
        <v>62</v>
      </c>
      <c r="B438" s="318" t="s">
        <v>7</v>
      </c>
      <c r="C438" s="319">
        <v>1430160.71</v>
      </c>
      <c r="D438" s="319">
        <v>0</v>
      </c>
      <c r="E438" s="319">
        <v>0</v>
      </c>
      <c r="F438" s="319">
        <f>5774.51+1946398.45</f>
        <v>1952172.96</v>
      </c>
      <c r="G438" s="319">
        <v>65335.78</v>
      </c>
      <c r="H438" s="319">
        <v>0</v>
      </c>
      <c r="I438" s="320">
        <v>91808.23</v>
      </c>
      <c r="J438" s="320"/>
      <c r="K438" s="320"/>
      <c r="L438" s="320">
        <v>0</v>
      </c>
      <c r="M438" s="321">
        <v>6945.26</v>
      </c>
      <c r="N438" s="322">
        <f>SUM(B438:M438)</f>
        <v>3546422.9399999995</v>
      </c>
      <c r="O438" s="6"/>
      <c r="S438" s="7"/>
      <c r="T438" s="7"/>
      <c r="U438" s="7"/>
      <c r="V438" s="7"/>
      <c r="W438" s="7"/>
      <c r="X438" s="7"/>
      <c r="Y438" s="6"/>
    </row>
    <row r="439" spans="1:25" ht="13.5" thickBot="1">
      <c r="A439" s="512"/>
      <c r="B439" s="323" t="s">
        <v>8</v>
      </c>
      <c r="C439" s="324">
        <v>193271.29</v>
      </c>
      <c r="D439" s="324">
        <v>259480.4</v>
      </c>
      <c r="E439" s="325">
        <v>239133.37</v>
      </c>
      <c r="F439" s="324">
        <f>79866.84</f>
        <v>79866.84</v>
      </c>
      <c r="G439" s="324">
        <v>75626.25</v>
      </c>
      <c r="H439" s="324">
        <v>128567.3</v>
      </c>
      <c r="I439" s="326">
        <v>57387.17</v>
      </c>
      <c r="J439" s="326"/>
      <c r="K439" s="326"/>
      <c r="L439" s="326">
        <v>0</v>
      </c>
      <c r="M439" s="327">
        <v>3002.91</v>
      </c>
      <c r="N439" s="322">
        <f>SUM(B439:M439)</f>
        <v>1036335.5300000001</v>
      </c>
      <c r="O439" s="6">
        <f>SUM(N438:N439)</f>
        <v>4582758.47</v>
      </c>
      <c r="S439" s="7"/>
      <c r="T439" s="7"/>
      <c r="U439" s="7"/>
      <c r="V439" s="7"/>
      <c r="W439" s="7"/>
      <c r="X439" s="7"/>
      <c r="Y439" s="6"/>
    </row>
    <row r="440" spans="1:25" ht="12.75">
      <c r="A440" s="532" t="s">
        <v>77</v>
      </c>
      <c r="B440" s="333" t="s">
        <v>7</v>
      </c>
      <c r="C440" s="334">
        <f>1670472.31</f>
        <v>1670472.31</v>
      </c>
      <c r="D440" s="334">
        <v>0</v>
      </c>
      <c r="E440" s="334">
        <v>0</v>
      </c>
      <c r="F440" s="334">
        <f>27308.85</f>
        <v>27308.85</v>
      </c>
      <c r="G440" s="334">
        <v>114385.17</v>
      </c>
      <c r="H440" s="334">
        <v>0</v>
      </c>
      <c r="I440" s="335">
        <v>29273.29</v>
      </c>
      <c r="J440" s="335"/>
      <c r="K440" s="335">
        <v>0</v>
      </c>
      <c r="L440" s="335">
        <v>0</v>
      </c>
      <c r="M440" s="336">
        <v>0</v>
      </c>
      <c r="N440" s="337">
        <f>SUM(B440:M440)</f>
        <v>1841439.62</v>
      </c>
      <c r="O440" s="6"/>
      <c r="S440" s="7"/>
      <c r="T440" s="7"/>
      <c r="U440" s="7"/>
      <c r="V440" s="7"/>
      <c r="W440" s="7"/>
      <c r="X440" s="7"/>
      <c r="Y440" s="6"/>
    </row>
    <row r="441" spans="1:25" ht="13.5" thickBot="1">
      <c r="A441" s="533"/>
      <c r="B441" s="338" t="s">
        <v>8</v>
      </c>
      <c r="C441" s="339">
        <v>566466.24</v>
      </c>
      <c r="D441" s="339">
        <v>158319.4</v>
      </c>
      <c r="E441" s="340">
        <v>246327.7</v>
      </c>
      <c r="F441" s="339">
        <f>99257.21</f>
        <v>99257.21</v>
      </c>
      <c r="G441" s="339">
        <v>78428.62</v>
      </c>
      <c r="H441" s="339">
        <v>119065.85</v>
      </c>
      <c r="I441" s="341">
        <v>71721.73</v>
      </c>
      <c r="J441" s="341"/>
      <c r="K441" s="341">
        <v>1802.73</v>
      </c>
      <c r="L441" s="341">
        <v>0</v>
      </c>
      <c r="M441" s="342">
        <v>0</v>
      </c>
      <c r="N441" s="337">
        <f>SUM(B441:M441)</f>
        <v>1341389.48</v>
      </c>
      <c r="O441" s="6">
        <f>SUM(N440:N441)</f>
        <v>3182829.1</v>
      </c>
      <c r="S441" s="7"/>
      <c r="T441" s="7"/>
      <c r="U441" s="7"/>
      <c r="V441" s="7"/>
      <c r="W441" s="7"/>
      <c r="X441" s="7"/>
      <c r="Y441" s="6"/>
    </row>
    <row r="442" spans="1:25" ht="12.75">
      <c r="A442" s="506" t="s">
        <v>91</v>
      </c>
      <c r="B442" s="347" t="s">
        <v>7</v>
      </c>
      <c r="C442" s="348">
        <v>1651708.44</v>
      </c>
      <c r="D442" s="348">
        <v>70.27</v>
      </c>
      <c r="E442" s="348">
        <v>0</v>
      </c>
      <c r="F442" s="348">
        <f>26344.93+475135.74</f>
        <v>501480.67</v>
      </c>
      <c r="G442" s="348">
        <f>70325.4</f>
        <v>70325.4</v>
      </c>
      <c r="H442" s="348">
        <v>0</v>
      </c>
      <c r="I442" s="349">
        <v>37556.72</v>
      </c>
      <c r="J442" s="349"/>
      <c r="K442" s="349">
        <v>0</v>
      </c>
      <c r="L442" s="349">
        <v>0</v>
      </c>
      <c r="M442" s="350">
        <v>0</v>
      </c>
      <c r="N442" s="351">
        <f aca="true" t="shared" si="49" ref="N442:N447">SUM(C442:M442)</f>
        <v>2261141.5</v>
      </c>
      <c r="O442" s="6"/>
      <c r="S442" s="7"/>
      <c r="T442" s="7"/>
      <c r="U442" s="7"/>
      <c r="V442" s="7"/>
      <c r="W442" s="7"/>
      <c r="X442" s="7"/>
      <c r="Y442" s="6"/>
    </row>
    <row r="443" spans="1:25" ht="13.5" thickBot="1">
      <c r="A443" s="507" t="s">
        <v>82</v>
      </c>
      <c r="B443" s="352" t="s">
        <v>8</v>
      </c>
      <c r="C443" s="353">
        <v>495009.61</v>
      </c>
      <c r="D443" s="353">
        <v>120823.13</v>
      </c>
      <c r="E443" s="354">
        <v>193565.91</v>
      </c>
      <c r="F443" s="353">
        <f>129470.03</f>
        <v>129470.03</v>
      </c>
      <c r="G443" s="353">
        <f>100140.28</f>
        <v>100140.28</v>
      </c>
      <c r="H443" s="353">
        <v>118083.95</v>
      </c>
      <c r="I443" s="355">
        <v>64014.59</v>
      </c>
      <c r="J443" s="355"/>
      <c r="K443" s="355">
        <v>1295.57</v>
      </c>
      <c r="L443" s="355">
        <v>0</v>
      </c>
      <c r="M443" s="356">
        <v>0</v>
      </c>
      <c r="N443" s="351">
        <f t="shared" si="49"/>
        <v>1222403.0700000003</v>
      </c>
      <c r="O443" s="6">
        <f>SUM(N442:N443)</f>
        <v>3483544.5700000003</v>
      </c>
      <c r="S443" s="7"/>
      <c r="T443" s="7"/>
      <c r="U443" s="7"/>
      <c r="V443" s="7"/>
      <c r="W443" s="7"/>
      <c r="X443" s="7"/>
      <c r="Y443" s="6"/>
    </row>
    <row r="444" spans="1:25" ht="12.75">
      <c r="A444" s="513" t="s">
        <v>105</v>
      </c>
      <c r="B444" s="357" t="s">
        <v>7</v>
      </c>
      <c r="C444" s="358">
        <v>1809368.89</v>
      </c>
      <c r="D444" s="358">
        <v>0</v>
      </c>
      <c r="E444" s="358">
        <v>0</v>
      </c>
      <c r="F444" s="358">
        <f>21811.43+449871.07</f>
        <v>471682.5</v>
      </c>
      <c r="G444" s="358">
        <v>99148.13</v>
      </c>
      <c r="H444" s="358">
        <v>0</v>
      </c>
      <c r="I444" s="359">
        <v>34671.42</v>
      </c>
      <c r="J444" s="359"/>
      <c r="K444" s="359">
        <v>0</v>
      </c>
      <c r="L444" s="359">
        <v>0</v>
      </c>
      <c r="M444" s="360">
        <v>0</v>
      </c>
      <c r="N444" s="361">
        <f t="shared" si="49"/>
        <v>2414870.9399999995</v>
      </c>
      <c r="O444" s="6"/>
      <c r="S444" s="7"/>
      <c r="T444" s="7"/>
      <c r="U444" s="7"/>
      <c r="V444" s="7"/>
      <c r="W444" s="7"/>
      <c r="X444" s="7"/>
      <c r="Y444" s="6"/>
    </row>
    <row r="445" spans="1:25" ht="13.5" thickBot="1">
      <c r="A445" s="514" t="s">
        <v>82</v>
      </c>
      <c r="B445" s="362" t="s">
        <v>8</v>
      </c>
      <c r="C445" s="363">
        <v>707966.95</v>
      </c>
      <c r="D445" s="363">
        <v>163337.67</v>
      </c>
      <c r="E445" s="364">
        <v>278645.52</v>
      </c>
      <c r="F445" s="363">
        <v>158972.47</v>
      </c>
      <c r="G445" s="363">
        <v>129353.12</v>
      </c>
      <c r="H445" s="363">
        <v>217344.2</v>
      </c>
      <c r="I445" s="365">
        <v>106868.9</v>
      </c>
      <c r="J445" s="365"/>
      <c r="K445" s="365">
        <v>2532.26</v>
      </c>
      <c r="L445" s="365">
        <v>0</v>
      </c>
      <c r="M445" s="366">
        <v>0</v>
      </c>
      <c r="N445" s="361">
        <f t="shared" si="49"/>
        <v>1765021.0899999999</v>
      </c>
      <c r="O445" s="6">
        <f>SUM(N444:N445)</f>
        <v>4179892.0299999993</v>
      </c>
      <c r="S445" s="7"/>
      <c r="T445" s="7"/>
      <c r="U445" s="7"/>
      <c r="V445" s="7"/>
      <c r="W445" s="7"/>
      <c r="X445" s="7"/>
      <c r="Y445" s="6"/>
    </row>
    <row r="446" spans="1:25" ht="12.75">
      <c r="A446" s="525">
        <v>41183</v>
      </c>
      <c r="B446" s="367" t="s">
        <v>7</v>
      </c>
      <c r="C446" s="368">
        <v>1832744</v>
      </c>
      <c r="D446" s="368">
        <v>0</v>
      </c>
      <c r="E446" s="368">
        <v>0</v>
      </c>
      <c r="F446" s="368">
        <f>554522.43+37210.92</f>
        <v>591733.3500000001</v>
      </c>
      <c r="G446" s="368">
        <v>20549.63</v>
      </c>
      <c r="H446" s="368">
        <v>0</v>
      </c>
      <c r="I446" s="369">
        <v>47285.13</v>
      </c>
      <c r="J446" s="369">
        <v>0</v>
      </c>
      <c r="K446" s="369">
        <v>0</v>
      </c>
      <c r="L446" s="369">
        <v>0</v>
      </c>
      <c r="M446" s="370">
        <v>0</v>
      </c>
      <c r="N446" s="371">
        <f t="shared" si="49"/>
        <v>2492312.11</v>
      </c>
      <c r="O446" s="6"/>
      <c r="S446" s="7"/>
      <c r="T446" s="7"/>
      <c r="U446" s="7"/>
      <c r="V446" s="7"/>
      <c r="W446" s="7"/>
      <c r="X446" s="7"/>
      <c r="Y446" s="6"/>
    </row>
    <row r="447" spans="1:25" ht="13.5" thickBot="1">
      <c r="A447" s="526"/>
      <c r="B447" s="372" t="s">
        <v>8</v>
      </c>
      <c r="C447" s="373">
        <v>852812.04</v>
      </c>
      <c r="D447" s="373">
        <v>156423.68</v>
      </c>
      <c r="E447" s="373">
        <v>245739.44</v>
      </c>
      <c r="F447" s="373">
        <v>189416.8</v>
      </c>
      <c r="G447" s="373">
        <v>111508.45</v>
      </c>
      <c r="H447" s="373">
        <v>285975.02</v>
      </c>
      <c r="I447" s="374">
        <v>132838.11</v>
      </c>
      <c r="J447" s="374">
        <v>45650.48</v>
      </c>
      <c r="K447" s="374">
        <v>4593.06</v>
      </c>
      <c r="L447" s="374">
        <v>0</v>
      </c>
      <c r="M447" s="375">
        <v>0</v>
      </c>
      <c r="N447" s="371">
        <f t="shared" si="49"/>
        <v>2024957.08</v>
      </c>
      <c r="O447" s="6">
        <f>SUM(N446:N447)</f>
        <v>4517269.1899999995</v>
      </c>
      <c r="S447" s="7"/>
      <c r="T447" s="7"/>
      <c r="U447" s="7"/>
      <c r="V447" s="7"/>
      <c r="W447" s="7"/>
      <c r="X447" s="7"/>
      <c r="Y447" s="6"/>
    </row>
    <row r="448" spans="1:25" ht="12.75">
      <c r="A448" s="521">
        <v>41548</v>
      </c>
      <c r="B448" s="390" t="s">
        <v>7</v>
      </c>
      <c r="C448" s="391">
        <v>1875012.92</v>
      </c>
      <c r="D448" s="391">
        <v>0</v>
      </c>
      <c r="E448" s="391">
        <v>0</v>
      </c>
      <c r="F448" s="391">
        <f>27287.77+293934.75</f>
        <v>321222.52</v>
      </c>
      <c r="G448" s="391">
        <v>116183.04</v>
      </c>
      <c r="H448" s="391">
        <v>0</v>
      </c>
      <c r="I448" s="392">
        <v>50335.27</v>
      </c>
      <c r="J448" s="392">
        <v>0</v>
      </c>
      <c r="K448" s="392">
        <v>0</v>
      </c>
      <c r="L448" s="392">
        <v>0</v>
      </c>
      <c r="M448" s="393">
        <v>0</v>
      </c>
      <c r="N448" s="394">
        <f>SUM(C448:M448)</f>
        <v>2362753.75</v>
      </c>
      <c r="O448" s="6"/>
      <c r="S448" s="7"/>
      <c r="T448" s="7"/>
      <c r="U448" s="7"/>
      <c r="V448" s="7"/>
      <c r="W448" s="7"/>
      <c r="X448" s="7"/>
      <c r="Y448" s="6"/>
    </row>
    <row r="449" spans="1:25" ht="13.5" thickBot="1">
      <c r="A449" s="531"/>
      <c r="B449" s="395" t="s">
        <v>8</v>
      </c>
      <c r="C449" s="396">
        <v>800352.02</v>
      </c>
      <c r="D449" s="396">
        <v>171921.33</v>
      </c>
      <c r="E449" s="396">
        <v>268892.09</v>
      </c>
      <c r="F449" s="396">
        <v>154194.91</v>
      </c>
      <c r="G449" s="396">
        <v>109293.35</v>
      </c>
      <c r="H449" s="396">
        <v>206532.69</v>
      </c>
      <c r="I449" s="397">
        <v>132077.95</v>
      </c>
      <c r="J449" s="397">
        <v>62368.52</v>
      </c>
      <c r="K449" s="397">
        <v>2490.85</v>
      </c>
      <c r="L449" s="397">
        <v>0</v>
      </c>
      <c r="M449" s="398">
        <v>0</v>
      </c>
      <c r="N449" s="394">
        <f>SUM(C449:M449)</f>
        <v>1908123.71</v>
      </c>
      <c r="O449" s="6">
        <f>SUM(N448:N449)</f>
        <v>4270877.46</v>
      </c>
      <c r="S449" s="7"/>
      <c r="T449" s="7"/>
      <c r="U449" s="7"/>
      <c r="V449" s="7"/>
      <c r="W449" s="7"/>
      <c r="X449" s="7"/>
      <c r="Y449" s="6"/>
    </row>
    <row r="450" spans="1:25" ht="12.75">
      <c r="A450" s="515">
        <v>41913</v>
      </c>
      <c r="B450" s="403" t="s">
        <v>7</v>
      </c>
      <c r="C450" s="404">
        <f>1712602.79+20680.16</f>
        <v>1733282.95</v>
      </c>
      <c r="D450" s="404">
        <v>0</v>
      </c>
      <c r="E450" s="404">
        <v>0</v>
      </c>
      <c r="F450" s="404">
        <f>304787.42+23213.4</f>
        <v>328000.82</v>
      </c>
      <c r="G450" s="404">
        <f>42349.31</f>
        <v>42349.31</v>
      </c>
      <c r="H450" s="404">
        <v>0</v>
      </c>
      <c r="I450" s="405">
        <v>50757.07</v>
      </c>
      <c r="J450" s="405">
        <v>0</v>
      </c>
      <c r="K450" s="405">
        <v>0</v>
      </c>
      <c r="L450" s="405">
        <v>0</v>
      </c>
      <c r="M450" s="406">
        <v>0</v>
      </c>
      <c r="N450" s="407">
        <f>SUM(C450:M450)</f>
        <v>2154390.15</v>
      </c>
      <c r="S450" s="7"/>
      <c r="T450" s="7"/>
      <c r="U450" s="7"/>
      <c r="V450" s="7"/>
      <c r="W450" s="7"/>
      <c r="X450" s="7"/>
      <c r="Y450" s="6"/>
    </row>
    <row r="451" spans="1:25" ht="13.5" thickBot="1">
      <c r="A451" s="516"/>
      <c r="B451" s="408" t="s">
        <v>8</v>
      </c>
      <c r="C451" s="409">
        <f>1039038.63+141790.76</f>
        <v>1180829.3900000001</v>
      </c>
      <c r="D451" s="409">
        <v>216309.55</v>
      </c>
      <c r="E451" s="409">
        <v>486937.43</v>
      </c>
      <c r="F451" s="409">
        <f>17359.15+130513.86</f>
        <v>147873.01</v>
      </c>
      <c r="G451" s="409">
        <f>127751.92</f>
        <v>127751.92</v>
      </c>
      <c r="H451" s="409">
        <v>226933.56</v>
      </c>
      <c r="I451" s="410">
        <v>215329.1</v>
      </c>
      <c r="J451" s="410">
        <v>95881.25</v>
      </c>
      <c r="K451" s="410">
        <v>1800.7</v>
      </c>
      <c r="L451" s="410">
        <v>0</v>
      </c>
      <c r="M451" s="411">
        <v>0</v>
      </c>
      <c r="N451" s="407">
        <f>SUM(C451:M451)</f>
        <v>2699645.9100000006</v>
      </c>
      <c r="O451" s="6">
        <f>SUM(N450:N451)</f>
        <v>4854036.0600000005</v>
      </c>
      <c r="S451" s="7"/>
      <c r="T451" s="7"/>
      <c r="U451" s="7"/>
      <c r="V451" s="7"/>
      <c r="W451" s="7"/>
      <c r="X451" s="7"/>
      <c r="Y451" s="6"/>
    </row>
    <row r="452" spans="1:25" ht="12.75">
      <c r="A452" s="495" t="s">
        <v>124</v>
      </c>
      <c r="B452" s="416" t="s">
        <v>7</v>
      </c>
      <c r="C452" s="417">
        <v>1427449.53</v>
      </c>
      <c r="D452" s="417">
        <v>0</v>
      </c>
      <c r="E452" s="417">
        <v>0</v>
      </c>
      <c r="F452" s="417">
        <f>6805.77+-449.84</f>
        <v>6355.93</v>
      </c>
      <c r="G452" s="417">
        <v>1533.25</v>
      </c>
      <c r="H452" s="417">
        <v>0</v>
      </c>
      <c r="I452" s="418">
        <v>35449.53</v>
      </c>
      <c r="J452" s="418">
        <v>0</v>
      </c>
      <c r="K452" s="418">
        <v>0</v>
      </c>
      <c r="L452" s="418">
        <v>0</v>
      </c>
      <c r="M452" s="419">
        <v>0</v>
      </c>
      <c r="N452" s="420">
        <f aca="true" t="shared" si="50" ref="N452:N457">SUM(C452:M452)</f>
        <v>1470788.24</v>
      </c>
      <c r="O452" s="6"/>
      <c r="S452" s="7"/>
      <c r="T452" s="7"/>
      <c r="U452" s="7"/>
      <c r="V452" s="7"/>
      <c r="W452" s="7"/>
      <c r="X452" s="7"/>
      <c r="Y452" s="6"/>
    </row>
    <row r="453" spans="1:25" ht="13.5" thickBot="1">
      <c r="A453" s="496"/>
      <c r="B453" s="421" t="s">
        <v>8</v>
      </c>
      <c r="C453" s="422">
        <v>1312473.19</v>
      </c>
      <c r="D453" s="422">
        <v>190907.86</v>
      </c>
      <c r="E453" s="423">
        <v>297149.33</v>
      </c>
      <c r="F453" s="422">
        <f>113371.86+225980.41</f>
        <v>339352.27</v>
      </c>
      <c r="G453" s="422">
        <v>175381.6</v>
      </c>
      <c r="H453" s="422">
        <v>437525.31</v>
      </c>
      <c r="I453" s="424">
        <v>226358.07</v>
      </c>
      <c r="J453" s="424">
        <v>109953.43</v>
      </c>
      <c r="K453" s="424">
        <v>1305.79</v>
      </c>
      <c r="L453" s="424">
        <v>0</v>
      </c>
      <c r="M453" s="425">
        <v>0</v>
      </c>
      <c r="N453" s="420">
        <f t="shared" si="50"/>
        <v>3090406.85</v>
      </c>
      <c r="O453" s="6">
        <f>SUM(N452:N453)</f>
        <v>4561195.09</v>
      </c>
      <c r="S453" s="7"/>
      <c r="T453" s="7"/>
      <c r="U453" s="7"/>
      <c r="V453" s="7"/>
      <c r="W453" s="7"/>
      <c r="X453" s="7"/>
      <c r="Y453" s="6"/>
    </row>
    <row r="454" spans="1:25" ht="12.75">
      <c r="A454" s="511" t="s">
        <v>137</v>
      </c>
      <c r="B454" s="427" t="s">
        <v>7</v>
      </c>
      <c r="C454" s="428">
        <v>1343829.2</v>
      </c>
      <c r="D454" s="428">
        <v>0</v>
      </c>
      <c r="E454" s="428">
        <v>0</v>
      </c>
      <c r="F454" s="428">
        <v>161615.7</v>
      </c>
      <c r="G454" s="428">
        <v>24780.29</v>
      </c>
      <c r="H454" s="428">
        <v>0</v>
      </c>
      <c r="I454" s="429">
        <v>1903.11</v>
      </c>
      <c r="J454" s="429"/>
      <c r="K454" s="429"/>
      <c r="L454" s="429"/>
      <c r="M454" s="430"/>
      <c r="N454" s="431">
        <f t="shared" si="50"/>
        <v>1532128.3</v>
      </c>
      <c r="O454" s="6"/>
      <c r="S454" s="7"/>
      <c r="T454" s="7"/>
      <c r="U454" s="7"/>
      <c r="V454" s="7"/>
      <c r="W454" s="7"/>
      <c r="X454" s="7"/>
      <c r="Y454" s="6"/>
    </row>
    <row r="455" spans="1:25" ht="13.5" thickBot="1">
      <c r="A455" s="512"/>
      <c r="B455" s="432" t="s">
        <v>8</v>
      </c>
      <c r="C455" s="433">
        <v>1607985.56</v>
      </c>
      <c r="D455" s="433">
        <v>343562.72</v>
      </c>
      <c r="E455" s="434">
        <v>244652.85</v>
      </c>
      <c r="F455" s="433">
        <v>165413.1</v>
      </c>
      <c r="G455" s="433">
        <v>191507.88</v>
      </c>
      <c r="H455" s="433">
        <v>467622.05</v>
      </c>
      <c r="I455" s="435">
        <v>242551.54</v>
      </c>
      <c r="J455" s="435">
        <v>111247.45</v>
      </c>
      <c r="K455" s="435">
        <v>1694.38</v>
      </c>
      <c r="L455" s="435"/>
      <c r="M455" s="436"/>
      <c r="N455" s="431">
        <f t="shared" si="50"/>
        <v>3376237.53</v>
      </c>
      <c r="O455" s="6">
        <f>SUM(N454:N455)</f>
        <v>4908365.83</v>
      </c>
      <c r="S455" s="7"/>
      <c r="T455" s="7"/>
      <c r="U455" s="7"/>
      <c r="V455" s="7"/>
      <c r="W455" s="7"/>
      <c r="X455" s="7"/>
      <c r="Y455" s="6"/>
    </row>
    <row r="456" spans="1:25" ht="12.75">
      <c r="A456" s="500" t="s">
        <v>147</v>
      </c>
      <c r="B456" s="438" t="s">
        <v>7</v>
      </c>
      <c r="C456" s="439">
        <v>1396672.1199999934</v>
      </c>
      <c r="D456" s="439">
        <v>0</v>
      </c>
      <c r="E456" s="440">
        <v>0</v>
      </c>
      <c r="F456" s="439">
        <v>161557.26</v>
      </c>
      <c r="G456" s="439">
        <v>58061.59</v>
      </c>
      <c r="H456" s="439">
        <v>0</v>
      </c>
      <c r="I456" s="441">
        <v>2635.93</v>
      </c>
      <c r="J456" s="441">
        <v>0</v>
      </c>
      <c r="K456" s="441">
        <v>0</v>
      </c>
      <c r="L456" s="441">
        <v>0</v>
      </c>
      <c r="M456" s="442">
        <v>0</v>
      </c>
      <c r="N456" s="443">
        <f t="shared" si="50"/>
        <v>1618926.8999999934</v>
      </c>
      <c r="O456" s="6"/>
      <c r="S456" s="7"/>
      <c r="T456" s="7"/>
      <c r="U456" s="7"/>
      <c r="V456" s="7"/>
      <c r="W456" s="7"/>
      <c r="X456" s="7"/>
      <c r="Y456" s="6"/>
    </row>
    <row r="457" spans="1:25" ht="13.5" thickBot="1">
      <c r="A457" s="501"/>
      <c r="B457" s="444" t="s">
        <v>8</v>
      </c>
      <c r="C457" s="445">
        <v>1827876.619999999</v>
      </c>
      <c r="D457" s="445">
        <v>324789.88</v>
      </c>
      <c r="E457" s="446">
        <v>410200.67</v>
      </c>
      <c r="F457" s="445">
        <v>138810.81</v>
      </c>
      <c r="G457" s="445">
        <v>144132.19</v>
      </c>
      <c r="H457" s="445">
        <v>461598.74</v>
      </c>
      <c r="I457" s="447">
        <v>345404.23</v>
      </c>
      <c r="J457" s="447">
        <v>129322.53</v>
      </c>
      <c r="K457" s="447">
        <v>3421.02</v>
      </c>
      <c r="L457" s="447">
        <v>0</v>
      </c>
      <c r="M457" s="448">
        <v>0</v>
      </c>
      <c r="N457" s="443">
        <f t="shared" si="50"/>
        <v>3785556.689999999</v>
      </c>
      <c r="O457" s="6">
        <f>SUM(N456:N457)</f>
        <v>5404483.589999992</v>
      </c>
      <c r="S457" s="7"/>
      <c r="T457" s="7"/>
      <c r="U457" s="7"/>
      <c r="V457" s="7"/>
      <c r="W457" s="7"/>
      <c r="X457" s="7"/>
      <c r="Y457" s="6"/>
    </row>
    <row r="458" spans="1:25" ht="12.75">
      <c r="A458" s="508" t="s">
        <v>164</v>
      </c>
      <c r="B458" s="449" t="s">
        <v>7</v>
      </c>
      <c r="C458" s="450">
        <v>1136034.7400000007</v>
      </c>
      <c r="D458" s="450">
        <v>0</v>
      </c>
      <c r="E458" s="450">
        <v>0</v>
      </c>
      <c r="F458" s="450">
        <f>51010.43+11231.42</f>
        <v>62241.85</v>
      </c>
      <c r="G458" s="450">
        <v>72043.43</v>
      </c>
      <c r="H458" s="450">
        <v>0</v>
      </c>
      <c r="I458" s="452">
        <v>1596.13</v>
      </c>
      <c r="J458" s="452">
        <v>0</v>
      </c>
      <c r="K458" s="452">
        <v>0</v>
      </c>
      <c r="L458" s="452">
        <v>0</v>
      </c>
      <c r="M458" s="453">
        <v>0</v>
      </c>
      <c r="N458" s="454">
        <f aca="true" t="shared" si="51" ref="N458:N463">SUM(C458:M458)</f>
        <v>1271916.1500000006</v>
      </c>
      <c r="O458" s="6"/>
      <c r="S458" s="7"/>
      <c r="T458" s="7"/>
      <c r="U458" s="7"/>
      <c r="V458" s="7"/>
      <c r="W458" s="7"/>
      <c r="X458" s="7"/>
      <c r="Y458" s="6"/>
    </row>
    <row r="459" spans="1:25" ht="13.5" thickBot="1">
      <c r="A459" s="509"/>
      <c r="B459" s="455" t="s">
        <v>8</v>
      </c>
      <c r="C459" s="456">
        <v>1877009.65</v>
      </c>
      <c r="D459" s="456">
        <v>275245.93</v>
      </c>
      <c r="E459" s="456">
        <v>473575.05</v>
      </c>
      <c r="F459" s="456">
        <v>136108.32</v>
      </c>
      <c r="G459" s="456">
        <v>148803.22</v>
      </c>
      <c r="H459" s="456">
        <v>591450.01</v>
      </c>
      <c r="I459" s="458">
        <v>325190.8</v>
      </c>
      <c r="J459" s="458">
        <v>108270.79</v>
      </c>
      <c r="K459" s="458">
        <v>4102.68</v>
      </c>
      <c r="L459" s="458">
        <v>0</v>
      </c>
      <c r="M459" s="459">
        <v>0</v>
      </c>
      <c r="N459" s="454">
        <f t="shared" si="51"/>
        <v>3939756.4499999997</v>
      </c>
      <c r="O459" s="6">
        <f>SUM(N458:N459)</f>
        <v>5211672.600000001</v>
      </c>
      <c r="S459" s="7"/>
      <c r="T459" s="7"/>
      <c r="U459" s="7"/>
      <c r="V459" s="7"/>
      <c r="W459" s="7"/>
      <c r="X459" s="7"/>
      <c r="Y459" s="6"/>
    </row>
    <row r="460" spans="1:25" ht="12.75">
      <c r="A460" s="498" t="s">
        <v>179</v>
      </c>
      <c r="B460" s="462" t="s">
        <v>7</v>
      </c>
      <c r="C460" s="463">
        <v>964208.49</v>
      </c>
      <c r="D460" s="463">
        <v>0</v>
      </c>
      <c r="E460" s="463">
        <v>0</v>
      </c>
      <c r="F460" s="463">
        <v>59987.59</v>
      </c>
      <c r="G460" s="463">
        <v>99314.15</v>
      </c>
      <c r="H460" s="463">
        <v>0</v>
      </c>
      <c r="I460" s="465">
        <v>257.03</v>
      </c>
      <c r="J460" s="465">
        <v>0</v>
      </c>
      <c r="K460" s="465">
        <v>0</v>
      </c>
      <c r="L460" s="465">
        <v>0</v>
      </c>
      <c r="M460" s="466">
        <v>0</v>
      </c>
      <c r="N460" s="467">
        <f t="shared" si="51"/>
        <v>1123767.26</v>
      </c>
      <c r="O460" s="6"/>
      <c r="S460" s="7"/>
      <c r="T460" s="7"/>
      <c r="U460" s="7"/>
      <c r="V460" s="7"/>
      <c r="W460" s="7"/>
      <c r="X460" s="7"/>
      <c r="Y460" s="6"/>
    </row>
    <row r="461" spans="1:25" ht="13.5" thickBot="1">
      <c r="A461" s="499"/>
      <c r="B461" s="468" t="s">
        <v>8</v>
      </c>
      <c r="C461" s="469">
        <v>1845926.38</v>
      </c>
      <c r="D461" s="469">
        <v>310033.43</v>
      </c>
      <c r="E461" s="470">
        <v>437583.6</v>
      </c>
      <c r="F461" s="469">
        <v>165666.95</v>
      </c>
      <c r="G461" s="469">
        <v>108398.58</v>
      </c>
      <c r="H461" s="469">
        <v>645752.07</v>
      </c>
      <c r="I461" s="471">
        <v>368336.28</v>
      </c>
      <c r="J461" s="471">
        <v>0</v>
      </c>
      <c r="K461" s="471">
        <v>569.69</v>
      </c>
      <c r="L461" s="471">
        <v>0</v>
      </c>
      <c r="M461" s="472">
        <v>0</v>
      </c>
      <c r="N461" s="467">
        <f t="shared" si="51"/>
        <v>3882266.98</v>
      </c>
      <c r="O461" s="6">
        <f>SUM(N460:N461)</f>
        <v>5006034.24</v>
      </c>
      <c r="S461" s="7"/>
      <c r="T461" s="7"/>
      <c r="U461" s="7"/>
      <c r="V461" s="7"/>
      <c r="W461" s="7"/>
      <c r="X461" s="7"/>
      <c r="Y461" s="6"/>
    </row>
    <row r="462" spans="1:25" ht="12.75">
      <c r="A462" s="493" t="s">
        <v>187</v>
      </c>
      <c r="B462" s="473" t="s">
        <v>7</v>
      </c>
      <c r="C462" s="474">
        <v>0</v>
      </c>
      <c r="D462" s="474">
        <v>0</v>
      </c>
      <c r="E462" s="474">
        <v>0</v>
      </c>
      <c r="F462" s="474">
        <v>1098.69</v>
      </c>
      <c r="G462" s="474">
        <v>0</v>
      </c>
      <c r="H462" s="474">
        <v>0</v>
      </c>
      <c r="I462" s="475">
        <v>0</v>
      </c>
      <c r="J462" s="475">
        <v>0</v>
      </c>
      <c r="K462" s="475">
        <v>0</v>
      </c>
      <c r="L462" s="475">
        <v>0</v>
      </c>
      <c r="M462" s="476">
        <v>0</v>
      </c>
      <c r="N462" s="477">
        <f t="shared" si="51"/>
        <v>1098.69</v>
      </c>
      <c r="O462" s="6"/>
      <c r="S462" s="7"/>
      <c r="T462" s="7"/>
      <c r="U462" s="7"/>
      <c r="V462" s="7"/>
      <c r="W462" s="7"/>
      <c r="X462" s="7"/>
      <c r="Y462" s="6"/>
    </row>
    <row r="463" spans="1:25" ht="13.5" thickBot="1">
      <c r="A463" s="494"/>
      <c r="B463" s="478" t="s">
        <v>8</v>
      </c>
      <c r="C463" s="479">
        <v>1035803.47</v>
      </c>
      <c r="D463" s="479">
        <v>280643.3</v>
      </c>
      <c r="E463" s="480">
        <v>307970.12</v>
      </c>
      <c r="F463" s="479">
        <v>89592.15</v>
      </c>
      <c r="G463" s="479">
        <v>38434.73</v>
      </c>
      <c r="H463" s="479">
        <v>437828.32</v>
      </c>
      <c r="I463" s="481">
        <v>186643.86</v>
      </c>
      <c r="J463" s="481">
        <v>0</v>
      </c>
      <c r="K463" s="481">
        <v>623.03</v>
      </c>
      <c r="L463" s="481">
        <v>0</v>
      </c>
      <c r="M463" s="482">
        <v>0</v>
      </c>
      <c r="N463" s="477">
        <f t="shared" si="51"/>
        <v>2377538.9799999995</v>
      </c>
      <c r="O463" s="6">
        <f>SUM(N462:N463)</f>
        <v>2378637.6699999995</v>
      </c>
      <c r="S463" s="7"/>
      <c r="T463" s="7"/>
      <c r="U463" s="7"/>
      <c r="V463" s="7"/>
      <c r="W463" s="7"/>
      <c r="X463" s="7"/>
      <c r="Y463" s="6"/>
    </row>
    <row r="464" spans="1:25" ht="12.75">
      <c r="A464" s="538" t="s">
        <v>201</v>
      </c>
      <c r="B464" s="483" t="s">
        <v>7</v>
      </c>
      <c r="C464" s="484">
        <v>0</v>
      </c>
      <c r="D464" s="484">
        <v>0</v>
      </c>
      <c r="E464" s="484">
        <v>0</v>
      </c>
      <c r="F464" s="484"/>
      <c r="G464" s="484">
        <v>0</v>
      </c>
      <c r="H464" s="484">
        <v>0</v>
      </c>
      <c r="I464" s="485">
        <v>0</v>
      </c>
      <c r="J464" s="485">
        <v>0</v>
      </c>
      <c r="K464" s="485">
        <v>0</v>
      </c>
      <c r="L464" s="485">
        <v>0</v>
      </c>
      <c r="M464" s="486">
        <v>0</v>
      </c>
      <c r="N464" s="487">
        <f aca="true" t="shared" si="52" ref="N464:N473">SUM(C464:M464)</f>
        <v>0</v>
      </c>
      <c r="O464" s="6"/>
      <c r="S464" s="7"/>
      <c r="T464" s="7"/>
      <c r="U464" s="7"/>
      <c r="V464" s="7"/>
      <c r="W464" s="7"/>
      <c r="X464" s="7"/>
      <c r="Y464" s="6"/>
    </row>
    <row r="465" spans="1:25" ht="13.5" thickBot="1">
      <c r="A465" s="539"/>
      <c r="B465" s="488" t="s">
        <v>8</v>
      </c>
      <c r="C465" s="489"/>
      <c r="D465" s="489"/>
      <c r="E465" s="490"/>
      <c r="F465" s="489"/>
      <c r="G465" s="489"/>
      <c r="H465" s="489"/>
      <c r="I465" s="491"/>
      <c r="J465" s="491">
        <v>0</v>
      </c>
      <c r="K465" s="491"/>
      <c r="L465" s="491">
        <v>0</v>
      </c>
      <c r="M465" s="492">
        <v>0</v>
      </c>
      <c r="N465" s="487">
        <f t="shared" si="52"/>
        <v>0</v>
      </c>
      <c r="O465" s="6">
        <f>SUM(N464:N465)</f>
        <v>0</v>
      </c>
      <c r="S465" s="7"/>
      <c r="T465" s="7"/>
      <c r="U465" s="7"/>
      <c r="V465" s="7"/>
      <c r="W465" s="7"/>
      <c r="X465" s="7"/>
      <c r="Y465" s="6"/>
    </row>
    <row r="466" spans="1:14" ht="12.75">
      <c r="A466" s="504">
        <v>36465</v>
      </c>
      <c r="B466" s="34" t="s">
        <v>7</v>
      </c>
      <c r="C466" s="87">
        <v>515775</v>
      </c>
      <c r="D466" s="87">
        <v>49498</v>
      </c>
      <c r="E466" s="87">
        <v>12009</v>
      </c>
      <c r="F466" s="87">
        <v>1423107</v>
      </c>
      <c r="G466" s="87"/>
      <c r="H466" s="87"/>
      <c r="I466" s="107">
        <v>5498</v>
      </c>
      <c r="J466" s="107"/>
      <c r="K466" s="107"/>
      <c r="L466" s="107"/>
      <c r="M466" s="35">
        <v>30483</v>
      </c>
      <c r="N466" s="5">
        <f t="shared" si="52"/>
        <v>2036370</v>
      </c>
    </row>
    <row r="467" spans="1:15" ht="12.75">
      <c r="A467" s="505"/>
      <c r="B467" s="36" t="s">
        <v>8</v>
      </c>
      <c r="C467" s="88">
        <v>27008</v>
      </c>
      <c r="D467" s="88">
        <v>0</v>
      </c>
      <c r="E467" s="88">
        <v>910</v>
      </c>
      <c r="F467" s="88">
        <v>59971</v>
      </c>
      <c r="G467" s="88"/>
      <c r="H467" s="88"/>
      <c r="I467" s="108">
        <v>5022</v>
      </c>
      <c r="J467" s="108"/>
      <c r="K467" s="108"/>
      <c r="L467" s="108"/>
      <c r="M467" s="37">
        <v>0</v>
      </c>
      <c r="N467" s="5">
        <f t="shared" si="52"/>
        <v>92911</v>
      </c>
      <c r="O467" s="6">
        <f>SUM(N466:N467)</f>
        <v>2129281</v>
      </c>
    </row>
    <row r="468" spans="1:14" ht="12.75">
      <c r="A468" s="529">
        <v>36831</v>
      </c>
      <c r="B468" s="38" t="s">
        <v>7</v>
      </c>
      <c r="C468" s="89">
        <f>'[1]2000'!C28</f>
        <v>757702.75</v>
      </c>
      <c r="D468" s="89">
        <f>'[1]2000'!D28</f>
        <v>38714.99</v>
      </c>
      <c r="E468" s="89">
        <f>'[1]2000'!E28</f>
        <v>13446.07</v>
      </c>
      <c r="F468" s="89">
        <f>'[1]2000'!F28</f>
        <v>1545697</v>
      </c>
      <c r="G468" s="89"/>
      <c r="H468" s="89"/>
      <c r="I468" s="109">
        <f>'[1]2000'!G28</f>
        <v>53618.85</v>
      </c>
      <c r="J468" s="109"/>
      <c r="K468" s="109"/>
      <c r="L468" s="109"/>
      <c r="M468" s="39">
        <f>'[1]2000'!H28</f>
        <v>29955</v>
      </c>
      <c r="N468" s="8">
        <f t="shared" si="52"/>
        <v>2439134.66</v>
      </c>
    </row>
    <row r="469" spans="1:15" ht="12.75">
      <c r="A469" s="530"/>
      <c r="B469" s="40" t="s">
        <v>8</v>
      </c>
      <c r="C469" s="82">
        <f>'[1]2000'!C29</f>
        <v>45462.16</v>
      </c>
      <c r="D469" s="82">
        <f>'[1]2000'!D29</f>
        <v>0</v>
      </c>
      <c r="E469" s="82">
        <f>'[1]2000'!E29</f>
        <v>5406.19</v>
      </c>
      <c r="F469" s="82">
        <f>'[1]2000'!F29</f>
        <v>117765.79</v>
      </c>
      <c r="G469" s="82"/>
      <c r="H469" s="82"/>
      <c r="I469" s="104">
        <f>'[1]2000'!G29</f>
        <v>49586.07</v>
      </c>
      <c r="J469" s="104"/>
      <c r="K469" s="104"/>
      <c r="L469" s="104"/>
      <c r="M469" s="41">
        <f>'[1]2000'!H29</f>
        <v>884.91</v>
      </c>
      <c r="N469" s="8">
        <f t="shared" si="52"/>
        <v>219105.12000000002</v>
      </c>
      <c r="O469" s="6">
        <f>SUM(N468:N469)</f>
        <v>2658239.7800000003</v>
      </c>
    </row>
    <row r="470" spans="1:15" ht="12.75">
      <c r="A470" s="497">
        <f>A468+366</f>
        <v>37197</v>
      </c>
      <c r="B470" s="26" t="s">
        <v>7</v>
      </c>
      <c r="C470" s="83">
        <v>542219.39</v>
      </c>
      <c r="D470" s="83">
        <v>26593.47</v>
      </c>
      <c r="E470" s="83">
        <v>3526.03</v>
      </c>
      <c r="F470" s="83">
        <f>1393998.97+117706.63</f>
        <v>1511705.6</v>
      </c>
      <c r="G470" s="83"/>
      <c r="H470" s="83"/>
      <c r="I470" s="105">
        <v>4031.71</v>
      </c>
      <c r="J470" s="105"/>
      <c r="K470" s="105"/>
      <c r="L470" s="105"/>
      <c r="M470" s="27">
        <v>23827.46</v>
      </c>
      <c r="N470" s="9">
        <f t="shared" si="52"/>
        <v>2111903.66</v>
      </c>
      <c r="O470" s="6"/>
    </row>
    <row r="471" spans="1:15" ht="12.75">
      <c r="A471" s="497"/>
      <c r="B471" s="28" t="s">
        <v>8</v>
      </c>
      <c r="C471" s="84">
        <v>28537.87</v>
      </c>
      <c r="D471" s="84">
        <v>69414.87</v>
      </c>
      <c r="E471" s="84">
        <v>5646.34</v>
      </c>
      <c r="F471" s="84">
        <v>9177.84</v>
      </c>
      <c r="G471" s="84"/>
      <c r="H471" s="84"/>
      <c r="I471" s="20">
        <v>87559.93</v>
      </c>
      <c r="J471" s="20"/>
      <c r="K471" s="20"/>
      <c r="L471" s="20"/>
      <c r="M471" s="29">
        <v>4355.03</v>
      </c>
      <c r="N471" s="9">
        <f t="shared" si="52"/>
        <v>204691.87999999998</v>
      </c>
      <c r="O471" s="6">
        <f>SUM(N470:N471)</f>
        <v>2316595.54</v>
      </c>
    </row>
    <row r="472" spans="1:15" ht="12.75">
      <c r="A472" s="534">
        <v>37561</v>
      </c>
      <c r="B472" s="30" t="s">
        <v>7</v>
      </c>
      <c r="C472" s="85">
        <v>534770.49</v>
      </c>
      <c r="D472" s="85">
        <v>50843.67</v>
      </c>
      <c r="E472" s="85">
        <v>0</v>
      </c>
      <c r="F472" s="85">
        <v>1010429.21</v>
      </c>
      <c r="G472" s="85"/>
      <c r="H472" s="85"/>
      <c r="I472" s="106">
        <v>94375.25</v>
      </c>
      <c r="J472" s="106"/>
      <c r="K472" s="106"/>
      <c r="L472" s="106"/>
      <c r="M472" s="31">
        <v>9500.8</v>
      </c>
      <c r="N472" s="19">
        <f t="shared" si="52"/>
        <v>1699919.4200000002</v>
      </c>
      <c r="O472" s="6"/>
    </row>
    <row r="473" spans="1:15" ht="12.75">
      <c r="A473" s="534"/>
      <c r="B473" s="32" t="s">
        <v>8</v>
      </c>
      <c r="C473" s="86">
        <v>44740.7</v>
      </c>
      <c r="D473" s="86">
        <v>78367.9</v>
      </c>
      <c r="E473" s="86">
        <v>13563.66</v>
      </c>
      <c r="F473" s="86">
        <v>80332.69</v>
      </c>
      <c r="G473" s="86"/>
      <c r="H473" s="86">
        <v>4473.12</v>
      </c>
      <c r="I473" s="22">
        <v>83814.09</v>
      </c>
      <c r="J473" s="22"/>
      <c r="K473" s="22"/>
      <c r="L473" s="22"/>
      <c r="M473" s="33">
        <v>9588.89</v>
      </c>
      <c r="N473" s="19">
        <f t="shared" si="52"/>
        <v>314881.05</v>
      </c>
      <c r="O473" s="6">
        <f>SUM(N472:N473)</f>
        <v>2014800.4700000002</v>
      </c>
    </row>
    <row r="474" spans="1:15" ht="12.75">
      <c r="A474" s="519">
        <v>37926</v>
      </c>
      <c r="B474" s="115" t="s">
        <v>7</v>
      </c>
      <c r="C474" s="116">
        <v>414664.54</v>
      </c>
      <c r="D474" s="116">
        <v>67508.11</v>
      </c>
      <c r="E474" s="116">
        <v>0</v>
      </c>
      <c r="F474" s="116">
        <f>39847.22+1750534.68</f>
        <v>1790381.9</v>
      </c>
      <c r="G474" s="116"/>
      <c r="H474" s="116"/>
      <c r="I474" s="117">
        <v>25673.75</v>
      </c>
      <c r="J474" s="117"/>
      <c r="K474" s="117"/>
      <c r="L474" s="117"/>
      <c r="M474" s="118">
        <v>23044.1</v>
      </c>
      <c r="N474" s="113">
        <f aca="true" t="shared" si="53" ref="N474:N483">SUM(C474:M474)</f>
        <v>2321272.4</v>
      </c>
      <c r="O474" s="6"/>
    </row>
    <row r="475" spans="1:15" ht="13.5" thickBot="1">
      <c r="A475" s="520"/>
      <c r="B475" s="119" t="s">
        <v>8</v>
      </c>
      <c r="C475" s="120">
        <v>204691.02</v>
      </c>
      <c r="D475" s="120">
        <v>171293.02</v>
      </c>
      <c r="E475" s="120">
        <v>107428.56</v>
      </c>
      <c r="F475" s="120">
        <v>186590.24</v>
      </c>
      <c r="G475" s="120"/>
      <c r="H475" s="120">
        <v>21586.61</v>
      </c>
      <c r="I475" s="121">
        <v>180572.77</v>
      </c>
      <c r="J475" s="121"/>
      <c r="K475" s="121"/>
      <c r="L475" s="121"/>
      <c r="M475" s="67">
        <v>16177.41</v>
      </c>
      <c r="N475" s="113">
        <f t="shared" si="53"/>
        <v>888339.63</v>
      </c>
      <c r="O475" s="6">
        <f>SUM(N474:N475)</f>
        <v>3209612.03</v>
      </c>
    </row>
    <row r="476" spans="1:15" ht="12.75">
      <c r="A476" s="523">
        <v>38292</v>
      </c>
      <c r="B476" s="214" t="s">
        <v>7</v>
      </c>
      <c r="C476" s="215">
        <v>387121.77</v>
      </c>
      <c r="D476" s="215">
        <v>51637.1</v>
      </c>
      <c r="E476" s="215"/>
      <c r="F476" s="215">
        <f>25265.34+1638370.03</f>
        <v>1663635.37</v>
      </c>
      <c r="G476" s="215"/>
      <c r="H476" s="215"/>
      <c r="I476" s="216">
        <v>116689.31</v>
      </c>
      <c r="J476" s="216"/>
      <c r="K476" s="216"/>
      <c r="L476" s="216"/>
      <c r="M476" s="217">
        <v>34182.37</v>
      </c>
      <c r="N476" s="218">
        <f t="shared" si="53"/>
        <v>2253265.9200000004</v>
      </c>
      <c r="O476" s="6"/>
    </row>
    <row r="477" spans="1:15" ht="13.5" thickBot="1">
      <c r="A477" s="524"/>
      <c r="B477" s="223" t="s">
        <v>8</v>
      </c>
      <c r="C477" s="224">
        <v>231108.83</v>
      </c>
      <c r="D477" s="224">
        <v>179337.77</v>
      </c>
      <c r="E477" s="225">
        <v>51891.89</v>
      </c>
      <c r="F477" s="224">
        <v>199296.56</v>
      </c>
      <c r="G477" s="224"/>
      <c r="H477" s="224">
        <v>53714.22</v>
      </c>
      <c r="I477" s="226">
        <v>231804.43</v>
      </c>
      <c r="J477" s="226"/>
      <c r="K477" s="226"/>
      <c r="L477" s="226">
        <v>19819</v>
      </c>
      <c r="M477" s="227">
        <v>4367.66</v>
      </c>
      <c r="N477" s="218">
        <f t="shared" si="53"/>
        <v>971340.36</v>
      </c>
      <c r="O477" s="6">
        <f>SUM(N476:N477)</f>
        <v>3224606.2800000003</v>
      </c>
    </row>
    <row r="478" spans="1:15" ht="12.75">
      <c r="A478" s="517">
        <v>38657</v>
      </c>
      <c r="B478" s="274" t="s">
        <v>7</v>
      </c>
      <c r="C478" s="275">
        <v>281082.31</v>
      </c>
      <c r="D478" s="275">
        <v>50394.05</v>
      </c>
      <c r="E478" s="275"/>
      <c r="F478" s="275">
        <f>1123827.81+4241.9</f>
        <v>1128069.71</v>
      </c>
      <c r="G478" s="275"/>
      <c r="H478" s="275"/>
      <c r="I478" s="276">
        <v>53219.54</v>
      </c>
      <c r="J478" s="276"/>
      <c r="K478" s="276"/>
      <c r="L478" s="276"/>
      <c r="M478" s="277">
        <v>15389.53</v>
      </c>
      <c r="N478" s="273">
        <f t="shared" si="53"/>
        <v>1528155.14</v>
      </c>
      <c r="O478" s="6"/>
    </row>
    <row r="479" spans="1:15" ht="13.5" thickBot="1">
      <c r="A479" s="518"/>
      <c r="B479" s="282" t="s">
        <v>8</v>
      </c>
      <c r="C479" s="283">
        <v>241017.77</v>
      </c>
      <c r="D479" s="283">
        <v>67673.57</v>
      </c>
      <c r="E479" s="284">
        <v>17881.95</v>
      </c>
      <c r="F479" s="283">
        <f>88704.25</f>
        <v>88704.25</v>
      </c>
      <c r="G479" s="283">
        <v>33409.35</v>
      </c>
      <c r="H479" s="283">
        <v>59177.76</v>
      </c>
      <c r="I479" s="285">
        <v>78431.47</v>
      </c>
      <c r="J479" s="285"/>
      <c r="K479" s="285"/>
      <c r="L479" s="285">
        <v>6116</v>
      </c>
      <c r="M479" s="286">
        <v>6049.23</v>
      </c>
      <c r="N479" s="273">
        <f t="shared" si="53"/>
        <v>598461.35</v>
      </c>
      <c r="O479" s="6">
        <f>SUM(N478:N479)</f>
        <v>2126616.4899999998</v>
      </c>
    </row>
    <row r="480" spans="1:15" ht="12.75">
      <c r="A480" s="527">
        <v>39022</v>
      </c>
      <c r="B480" s="289" t="s">
        <v>7</v>
      </c>
      <c r="C480" s="290">
        <v>381514.29</v>
      </c>
      <c r="D480" s="290">
        <v>558.5</v>
      </c>
      <c r="E480" s="290"/>
      <c r="F480" s="290">
        <f>9643.92+1291060.17</f>
        <v>1300704.0899999999</v>
      </c>
      <c r="G480" s="290"/>
      <c r="H480" s="290"/>
      <c r="I480" s="291">
        <v>93586.85</v>
      </c>
      <c r="J480" s="291"/>
      <c r="K480" s="291"/>
      <c r="L480" s="291"/>
      <c r="M480" s="292">
        <v>65147.99</v>
      </c>
      <c r="N480" s="293">
        <f t="shared" si="53"/>
        <v>1841511.72</v>
      </c>
      <c r="O480" s="6"/>
    </row>
    <row r="481" spans="1:15" ht="13.5" thickBot="1">
      <c r="A481" s="528"/>
      <c r="B481" s="299" t="s">
        <v>8</v>
      </c>
      <c r="C481" s="300">
        <f>367969.35-18398.47</f>
        <v>349570.88</v>
      </c>
      <c r="D481" s="300">
        <v>231913.19</v>
      </c>
      <c r="E481" s="301">
        <v>78181.22</v>
      </c>
      <c r="F481" s="300">
        <f>179688.74</f>
        <v>179688.74</v>
      </c>
      <c r="G481" s="300">
        <v>86462.2</v>
      </c>
      <c r="H481" s="300">
        <v>118155.3</v>
      </c>
      <c r="I481" s="302">
        <v>127979.05</v>
      </c>
      <c r="J481" s="302"/>
      <c r="K481" s="302"/>
      <c r="L481" s="302"/>
      <c r="M481" s="303">
        <v>9603.93</v>
      </c>
      <c r="N481" s="293">
        <f t="shared" si="53"/>
        <v>1181554.51</v>
      </c>
      <c r="O481" s="6">
        <f>SUM(N480:N481)</f>
        <v>3023066.23</v>
      </c>
    </row>
    <row r="482" spans="1:15" ht="12.75">
      <c r="A482" s="502" t="s">
        <v>49</v>
      </c>
      <c r="B482" s="305" t="s">
        <v>7</v>
      </c>
      <c r="C482" s="306">
        <v>255019.1</v>
      </c>
      <c r="D482" s="306">
        <f>73956.37</f>
        <v>73956.37</v>
      </c>
      <c r="E482" s="306"/>
      <c r="F482" s="306">
        <f>10996.95+1540422.91</f>
        <v>1551419.8599999999</v>
      </c>
      <c r="G482" s="306">
        <f>789.67</f>
        <v>789.67</v>
      </c>
      <c r="H482" s="306"/>
      <c r="I482" s="307">
        <v>64470.74</v>
      </c>
      <c r="J482" s="307"/>
      <c r="K482" s="307"/>
      <c r="L482" s="307">
        <v>0</v>
      </c>
      <c r="M482" s="308">
        <f>15108.61</f>
        <v>15108.61</v>
      </c>
      <c r="N482" s="304">
        <f t="shared" si="53"/>
        <v>1960764.3499999999</v>
      </c>
      <c r="O482" s="6"/>
    </row>
    <row r="483" spans="1:15" ht="13.5" thickBot="1">
      <c r="A483" s="503"/>
      <c r="B483" s="313" t="s">
        <v>8</v>
      </c>
      <c r="C483" s="309">
        <v>491651.52</v>
      </c>
      <c r="D483" s="309">
        <f>132051.87</f>
        <v>132051.87</v>
      </c>
      <c r="E483" s="310">
        <f>47755.68</f>
        <v>47755.68</v>
      </c>
      <c r="F483" s="309">
        <f>134153.62</f>
        <v>134153.62</v>
      </c>
      <c r="G483" s="309">
        <f>98941.02</f>
        <v>98941.02</v>
      </c>
      <c r="H483" s="309">
        <f>229963.19</f>
        <v>229963.19</v>
      </c>
      <c r="I483" s="311">
        <v>126074.52</v>
      </c>
      <c r="J483" s="311"/>
      <c r="K483" s="311"/>
      <c r="L483" s="311">
        <v>0</v>
      </c>
      <c r="M483" s="312">
        <f>11397.65</f>
        <v>11397.65</v>
      </c>
      <c r="N483" s="304">
        <f t="shared" si="53"/>
        <v>1271989.07</v>
      </c>
      <c r="O483" s="6">
        <f>SUM(N482:N483)</f>
        <v>3232753.42</v>
      </c>
    </row>
    <row r="484" spans="1:25" ht="12.75">
      <c r="A484" s="511" t="s">
        <v>63</v>
      </c>
      <c r="B484" s="318" t="s">
        <v>7</v>
      </c>
      <c r="C484" s="319">
        <v>299887.31</v>
      </c>
      <c r="D484" s="319">
        <v>604.13</v>
      </c>
      <c r="E484" s="319"/>
      <c r="F484" s="319">
        <f>7663.83+521498.81</f>
        <v>529162.64</v>
      </c>
      <c r="G484" s="319">
        <v>13769.33</v>
      </c>
      <c r="H484" s="319"/>
      <c r="I484" s="320">
        <v>43224.19</v>
      </c>
      <c r="J484" s="320"/>
      <c r="K484" s="320"/>
      <c r="L484" s="320"/>
      <c r="M484" s="321">
        <v>739.91</v>
      </c>
      <c r="N484" s="322">
        <f>SUM(B484:M484)</f>
        <v>887387.5100000001</v>
      </c>
      <c r="O484" s="6"/>
      <c r="S484" s="7"/>
      <c r="T484" s="7"/>
      <c r="U484" s="7"/>
      <c r="V484" s="7"/>
      <c r="W484" s="7"/>
      <c r="X484" s="7"/>
      <c r="Y484" s="6"/>
    </row>
    <row r="485" spans="1:25" ht="13.5" thickBot="1">
      <c r="A485" s="512"/>
      <c r="B485" s="323" t="s">
        <v>8</v>
      </c>
      <c r="C485" s="324">
        <v>413085.05</v>
      </c>
      <c r="D485" s="324">
        <f>139975.1-604.13</f>
        <v>139370.97</v>
      </c>
      <c r="E485" s="325">
        <v>123773.01</v>
      </c>
      <c r="F485" s="324">
        <v>116508.97</v>
      </c>
      <c r="G485" s="324">
        <v>110274.9</v>
      </c>
      <c r="H485" s="324">
        <v>170691.25</v>
      </c>
      <c r="I485" s="326">
        <v>92466.27</v>
      </c>
      <c r="J485" s="326"/>
      <c r="K485" s="326"/>
      <c r="L485" s="326">
        <v>0</v>
      </c>
      <c r="M485" s="327">
        <v>275.81</v>
      </c>
      <c r="N485" s="322">
        <f>SUM(B485:M485)</f>
        <v>1166446.23</v>
      </c>
      <c r="O485" s="6">
        <f>SUM(N484:N485)</f>
        <v>2053833.7400000002</v>
      </c>
      <c r="S485" s="7"/>
      <c r="T485" s="7"/>
      <c r="U485" s="7"/>
      <c r="V485" s="7"/>
      <c r="W485" s="7"/>
      <c r="X485" s="7"/>
      <c r="Y485" s="6"/>
    </row>
    <row r="486" spans="1:25" ht="12.75">
      <c r="A486" s="532" t="s">
        <v>78</v>
      </c>
      <c r="B486" s="333" t="s">
        <v>7</v>
      </c>
      <c r="C486" s="334">
        <v>252299.53</v>
      </c>
      <c r="D486" s="334">
        <v>340.67</v>
      </c>
      <c r="E486" s="334">
        <v>0</v>
      </c>
      <c r="F486" s="334">
        <f>8196.7+145987.7</f>
        <v>154184.40000000002</v>
      </c>
      <c r="G486" s="334">
        <v>18115.5</v>
      </c>
      <c r="H486" s="334">
        <v>0</v>
      </c>
      <c r="I486" s="335">
        <v>18329.95</v>
      </c>
      <c r="J486" s="335"/>
      <c r="K486" s="335">
        <v>0</v>
      </c>
      <c r="L486" s="335">
        <v>0</v>
      </c>
      <c r="M486" s="336">
        <v>0</v>
      </c>
      <c r="N486" s="337">
        <f>SUM(B486:M486)</f>
        <v>443270.05000000005</v>
      </c>
      <c r="O486" s="6"/>
      <c r="S486" s="7"/>
      <c r="T486" s="7"/>
      <c r="U486" s="7"/>
      <c r="V486" s="7"/>
      <c r="W486" s="7"/>
      <c r="X486" s="7"/>
      <c r="Y486" s="6"/>
    </row>
    <row r="487" spans="1:25" ht="13.5" thickBot="1">
      <c r="A487" s="533"/>
      <c r="B487" s="338" t="s">
        <v>8</v>
      </c>
      <c r="C487" s="339">
        <v>689299.51</v>
      </c>
      <c r="D487" s="339">
        <v>96285.87</v>
      </c>
      <c r="E487" s="340">
        <v>135099.35</v>
      </c>
      <c r="F487" s="339">
        <f>113085.06</f>
        <v>113085.06</v>
      </c>
      <c r="G487" s="339">
        <v>114747.75</v>
      </c>
      <c r="H487" s="339">
        <v>171480.15</v>
      </c>
      <c r="I487" s="341">
        <v>78760.21</v>
      </c>
      <c r="J487" s="341"/>
      <c r="K487" s="341">
        <v>2205.56</v>
      </c>
      <c r="L487" s="341">
        <v>0</v>
      </c>
      <c r="M487" s="342">
        <v>0</v>
      </c>
      <c r="N487" s="337">
        <f>SUM(B487:M487)</f>
        <v>1400963.46</v>
      </c>
      <c r="O487" s="6">
        <f>SUM(N486:N487)</f>
        <v>1844233.51</v>
      </c>
      <c r="S487" s="7"/>
      <c r="T487" s="7"/>
      <c r="U487" s="7"/>
      <c r="V487" s="7"/>
      <c r="W487" s="7"/>
      <c r="X487" s="7"/>
      <c r="Y487" s="6"/>
    </row>
    <row r="488" spans="1:25" ht="12.75">
      <c r="A488" s="506" t="s">
        <v>92</v>
      </c>
      <c r="B488" s="347" t="s">
        <v>7</v>
      </c>
      <c r="C488" s="348">
        <v>287515.7</v>
      </c>
      <c r="D488" s="348">
        <v>168.65</v>
      </c>
      <c r="E488" s="348">
        <v>0</v>
      </c>
      <c r="F488" s="348">
        <f>14040.67+103850.32</f>
        <v>117890.99</v>
      </c>
      <c r="G488" s="348">
        <f>11245.88</f>
        <v>11245.88</v>
      </c>
      <c r="H488" s="348">
        <v>0</v>
      </c>
      <c r="I488" s="349">
        <v>15173.62</v>
      </c>
      <c r="J488" s="349"/>
      <c r="K488" s="349">
        <v>0</v>
      </c>
      <c r="L488" s="349">
        <v>0</v>
      </c>
      <c r="M488" s="350">
        <v>0</v>
      </c>
      <c r="N488" s="351">
        <f aca="true" t="shared" si="54" ref="N488:N493">SUM(C488:M488)</f>
        <v>431994.84</v>
      </c>
      <c r="O488" s="6"/>
      <c r="S488" s="7"/>
      <c r="T488" s="7"/>
      <c r="U488" s="7"/>
      <c r="V488" s="7"/>
      <c r="W488" s="7"/>
      <c r="X488" s="7"/>
      <c r="Y488" s="6"/>
    </row>
    <row r="489" spans="1:25" ht="13.5" thickBot="1">
      <c r="A489" s="507" t="s">
        <v>82</v>
      </c>
      <c r="B489" s="352" t="s">
        <v>8</v>
      </c>
      <c r="C489" s="353">
        <v>473143.53</v>
      </c>
      <c r="D489" s="353">
        <v>83347.06</v>
      </c>
      <c r="E489" s="354">
        <v>82851.21</v>
      </c>
      <c r="F489" s="353">
        <f>132451.49</f>
        <v>132451.49</v>
      </c>
      <c r="G489" s="353">
        <f>95820.19</f>
        <v>95820.19</v>
      </c>
      <c r="H489" s="353">
        <v>174066.33</v>
      </c>
      <c r="I489" s="355">
        <v>66240.6</v>
      </c>
      <c r="J489" s="355"/>
      <c r="K489" s="355">
        <v>1347.33</v>
      </c>
      <c r="L489" s="355">
        <v>0</v>
      </c>
      <c r="M489" s="356">
        <v>0</v>
      </c>
      <c r="N489" s="351">
        <f t="shared" si="54"/>
        <v>1109267.74</v>
      </c>
      <c r="O489" s="6">
        <f>SUM(N488:N489)</f>
        <v>1541262.58</v>
      </c>
      <c r="S489" s="7"/>
      <c r="T489" s="7"/>
      <c r="U489" s="7"/>
      <c r="V489" s="7"/>
      <c r="W489" s="7"/>
      <c r="X489" s="7"/>
      <c r="Y489" s="6"/>
    </row>
    <row r="490" spans="1:25" ht="12.75">
      <c r="A490" s="513" t="s">
        <v>107</v>
      </c>
      <c r="B490" s="357" t="s">
        <v>7</v>
      </c>
      <c r="C490" s="358">
        <v>463486.97</v>
      </c>
      <c r="D490" s="358">
        <v>-5.28</v>
      </c>
      <c r="E490" s="358">
        <v>0</v>
      </c>
      <c r="F490" s="358">
        <f>123860.23+16260.88</f>
        <v>140121.11</v>
      </c>
      <c r="G490" s="358">
        <v>22102.95</v>
      </c>
      <c r="H490" s="358">
        <v>0</v>
      </c>
      <c r="I490" s="359">
        <v>22093.47</v>
      </c>
      <c r="J490" s="359"/>
      <c r="K490" s="359">
        <v>0</v>
      </c>
      <c r="L490" s="359">
        <v>0</v>
      </c>
      <c r="M490" s="360">
        <v>0</v>
      </c>
      <c r="N490" s="361">
        <f t="shared" si="54"/>
        <v>647799.2199999999</v>
      </c>
      <c r="O490" s="6"/>
      <c r="S490" s="7"/>
      <c r="T490" s="7"/>
      <c r="U490" s="7"/>
      <c r="V490" s="7"/>
      <c r="W490" s="7"/>
      <c r="X490" s="7"/>
      <c r="Y490" s="6"/>
    </row>
    <row r="491" spans="1:25" ht="13.5" thickBot="1">
      <c r="A491" s="514" t="s">
        <v>82</v>
      </c>
      <c r="B491" s="362" t="s">
        <v>8</v>
      </c>
      <c r="C491" s="363">
        <v>674581.36</v>
      </c>
      <c r="D491" s="363">
        <v>115157.97</v>
      </c>
      <c r="E491" s="364">
        <v>137797.7</v>
      </c>
      <c r="F491" s="363">
        <f>155713.61</f>
        <v>155713.61</v>
      </c>
      <c r="G491" s="363">
        <v>120215.43</v>
      </c>
      <c r="H491" s="363">
        <v>228780.2</v>
      </c>
      <c r="I491" s="365">
        <v>100588.43</v>
      </c>
      <c r="J491" s="365"/>
      <c r="K491" s="365">
        <v>1735.68</v>
      </c>
      <c r="L491" s="365">
        <v>0</v>
      </c>
      <c r="M491" s="366">
        <v>0</v>
      </c>
      <c r="N491" s="361">
        <f t="shared" si="54"/>
        <v>1534570.38</v>
      </c>
      <c r="O491" s="6">
        <f>SUM(N490:N491)</f>
        <v>2182369.5999999996</v>
      </c>
      <c r="S491" s="7"/>
      <c r="T491" s="7"/>
      <c r="U491" s="7"/>
      <c r="V491" s="7"/>
      <c r="W491" s="7"/>
      <c r="X491" s="7"/>
      <c r="Y491" s="6"/>
    </row>
    <row r="492" spans="1:25" ht="12.75">
      <c r="A492" s="525">
        <v>41214</v>
      </c>
      <c r="B492" s="367" t="s">
        <v>7</v>
      </c>
      <c r="C492" s="368">
        <v>901179.6</v>
      </c>
      <c r="D492" s="368">
        <v>0</v>
      </c>
      <c r="E492" s="368">
        <v>0</v>
      </c>
      <c r="F492" s="368">
        <f>27295.33+235855.69</f>
        <v>263151.02</v>
      </c>
      <c r="G492" s="368">
        <v>6413.86</v>
      </c>
      <c r="H492" s="368">
        <v>0</v>
      </c>
      <c r="I492" s="369">
        <v>43524.45</v>
      </c>
      <c r="J492" s="369">
        <v>0</v>
      </c>
      <c r="K492" s="369">
        <v>0</v>
      </c>
      <c r="L492" s="369">
        <v>0</v>
      </c>
      <c r="M492" s="370">
        <v>0</v>
      </c>
      <c r="N492" s="371">
        <f t="shared" si="54"/>
        <v>1214268.9300000002</v>
      </c>
      <c r="O492" s="6"/>
      <c r="S492" s="7"/>
      <c r="T492" s="7"/>
      <c r="U492" s="7"/>
      <c r="V492" s="7"/>
      <c r="W492" s="7"/>
      <c r="X492" s="7"/>
      <c r="Y492" s="6"/>
    </row>
    <row r="493" spans="1:25" ht="13.5" thickBot="1">
      <c r="A493" s="526"/>
      <c r="B493" s="372" t="s">
        <v>8</v>
      </c>
      <c r="C493" s="373">
        <v>1029561.46</v>
      </c>
      <c r="D493" s="373">
        <v>158280.07</v>
      </c>
      <c r="E493" s="373">
        <v>172986.25</v>
      </c>
      <c r="F493" s="373">
        <f>209793.35</f>
        <v>209793.35</v>
      </c>
      <c r="G493" s="373">
        <v>133353.47</v>
      </c>
      <c r="H493" s="373">
        <v>314578.62</v>
      </c>
      <c r="I493" s="374">
        <v>169801.48</v>
      </c>
      <c r="J493" s="374">
        <v>32031.55</v>
      </c>
      <c r="K493" s="374">
        <v>2435.08</v>
      </c>
      <c r="L493" s="374">
        <v>0</v>
      </c>
      <c r="M493" s="375">
        <v>0</v>
      </c>
      <c r="N493" s="371">
        <f t="shared" si="54"/>
        <v>2222821.33</v>
      </c>
      <c r="O493" s="6">
        <f>SUM(N492:N493)</f>
        <v>3437090.2600000002</v>
      </c>
      <c r="S493" s="7"/>
      <c r="T493" s="7"/>
      <c r="U493" s="7"/>
      <c r="V493" s="7"/>
      <c r="W493" s="7"/>
      <c r="X493" s="7"/>
      <c r="Y493" s="6"/>
    </row>
    <row r="494" spans="1:25" ht="12.75">
      <c r="A494" s="521">
        <v>41579</v>
      </c>
      <c r="B494" s="390" t="s">
        <v>7</v>
      </c>
      <c r="C494" s="391">
        <v>802159.14</v>
      </c>
      <c r="D494" s="391">
        <v>0</v>
      </c>
      <c r="E494" s="391">
        <v>0</v>
      </c>
      <c r="F494" s="391">
        <f>32039.18+134835.78</f>
        <v>166874.96</v>
      </c>
      <c r="G494" s="391">
        <v>32742.29</v>
      </c>
      <c r="H494" s="391">
        <v>0</v>
      </c>
      <c r="I494" s="392">
        <v>28924.87</v>
      </c>
      <c r="J494" s="392">
        <v>0</v>
      </c>
      <c r="K494" s="392">
        <v>0</v>
      </c>
      <c r="L494" s="392">
        <v>0</v>
      </c>
      <c r="M494" s="393">
        <v>0</v>
      </c>
      <c r="N494" s="394">
        <f aca="true" t="shared" si="55" ref="N494:N499">SUM(C494:M494)</f>
        <v>1030701.26</v>
      </c>
      <c r="O494" s="6"/>
      <c r="S494" s="7"/>
      <c r="T494" s="7"/>
      <c r="U494" s="7"/>
      <c r="V494" s="7"/>
      <c r="W494" s="7"/>
      <c r="X494" s="7"/>
      <c r="Y494" s="6"/>
    </row>
    <row r="495" spans="1:25" ht="13.5" thickBot="1">
      <c r="A495" s="531"/>
      <c r="B495" s="395" t="s">
        <v>8</v>
      </c>
      <c r="C495" s="396">
        <v>994317.25</v>
      </c>
      <c r="D495" s="396">
        <v>158481.31</v>
      </c>
      <c r="E495" s="396">
        <v>201863.63</v>
      </c>
      <c r="F495" s="396">
        <f>198251.86</f>
        <v>198251.86</v>
      </c>
      <c r="G495" s="396">
        <v>124893.06</v>
      </c>
      <c r="H495" s="396">
        <v>233309.29</v>
      </c>
      <c r="I495" s="397">
        <v>178422.01</v>
      </c>
      <c r="J495" s="397">
        <v>57400.89</v>
      </c>
      <c r="K495" s="397">
        <v>2490.85</v>
      </c>
      <c r="L495" s="397">
        <v>0</v>
      </c>
      <c r="M495" s="398">
        <v>0</v>
      </c>
      <c r="N495" s="394">
        <f t="shared" si="55"/>
        <v>2149430.15</v>
      </c>
      <c r="O495" s="6">
        <f>SUM(N494:N495)</f>
        <v>3180131.41</v>
      </c>
      <c r="S495" s="7"/>
      <c r="T495" s="7"/>
      <c r="U495" s="7"/>
      <c r="V495" s="7"/>
      <c r="W495" s="7"/>
      <c r="X495" s="7"/>
      <c r="Y495" s="6"/>
    </row>
    <row r="496" spans="1:25" ht="12.75">
      <c r="A496" s="515">
        <v>41944</v>
      </c>
      <c r="B496" s="403" t="s">
        <v>7</v>
      </c>
      <c r="C496" s="404">
        <f>612302.2+13843.73</f>
        <v>626145.9299999999</v>
      </c>
      <c r="D496" s="404">
        <v>0</v>
      </c>
      <c r="E496" s="404">
        <v>0</v>
      </c>
      <c r="F496" s="404">
        <f>125768.91+17678.01</f>
        <v>143446.92</v>
      </c>
      <c r="G496" s="404">
        <v>30624.76</v>
      </c>
      <c r="H496" s="404">
        <v>0</v>
      </c>
      <c r="I496" s="405">
        <v>28228.91</v>
      </c>
      <c r="J496" s="405">
        <v>0</v>
      </c>
      <c r="K496" s="405">
        <v>0</v>
      </c>
      <c r="L496" s="405">
        <v>0</v>
      </c>
      <c r="M496" s="406">
        <v>0</v>
      </c>
      <c r="N496" s="407">
        <f t="shared" si="55"/>
        <v>828446.52</v>
      </c>
      <c r="S496" s="7"/>
      <c r="T496" s="7"/>
      <c r="U496" s="7"/>
      <c r="V496" s="7"/>
      <c r="W496" s="7"/>
      <c r="X496" s="7"/>
      <c r="Y496" s="6"/>
    </row>
    <row r="497" spans="1:25" ht="13.5" thickBot="1">
      <c r="A497" s="516"/>
      <c r="B497" s="408" t="s">
        <v>8</v>
      </c>
      <c r="C497" s="409">
        <f>1313602.16+146234.06</f>
        <v>1459836.22</v>
      </c>
      <c r="D497" s="409">
        <v>204188.68</v>
      </c>
      <c r="E497" s="409">
        <v>286155.22</v>
      </c>
      <c r="F497" s="409">
        <f>11690.73+148306.45</f>
        <v>159997.18000000002</v>
      </c>
      <c r="G497" s="409">
        <v>138837.02</v>
      </c>
      <c r="H497" s="409">
        <f>253703.19</f>
        <v>253703.19</v>
      </c>
      <c r="I497" s="410">
        <v>235528.12</v>
      </c>
      <c r="J497" s="410">
        <v>111573.32</v>
      </c>
      <c r="K497" s="410">
        <v>429.34</v>
      </c>
      <c r="L497" s="410">
        <v>0</v>
      </c>
      <c r="M497" s="411">
        <v>0</v>
      </c>
      <c r="N497" s="407">
        <f t="shared" si="55"/>
        <v>2850248.2899999996</v>
      </c>
      <c r="O497" s="6">
        <f>SUM(N496:N497)</f>
        <v>3678694.8099999996</v>
      </c>
      <c r="S497" s="7"/>
      <c r="T497" s="7"/>
      <c r="U497" s="7"/>
      <c r="V497" s="7"/>
      <c r="W497" s="7"/>
      <c r="X497" s="7"/>
      <c r="Y497" s="6"/>
    </row>
    <row r="498" spans="1:25" ht="12.75">
      <c r="A498" s="495" t="s">
        <v>126</v>
      </c>
      <c r="B498" s="416" t="s">
        <v>7</v>
      </c>
      <c r="C498" s="417">
        <f>411942.69+2825.5</f>
        <v>414768.19</v>
      </c>
      <c r="D498" s="426">
        <v>0</v>
      </c>
      <c r="E498" s="426">
        <v>0</v>
      </c>
      <c r="F498" s="417">
        <f>0</f>
        <v>0</v>
      </c>
      <c r="G498" s="417">
        <v>0</v>
      </c>
      <c r="H498" s="417">
        <v>0</v>
      </c>
      <c r="I498" s="418">
        <v>19930.78</v>
      </c>
      <c r="J498" s="418">
        <v>0</v>
      </c>
      <c r="K498" s="418">
        <v>0</v>
      </c>
      <c r="L498" s="418">
        <v>0</v>
      </c>
      <c r="M498" s="419">
        <v>0</v>
      </c>
      <c r="N498" s="420">
        <f t="shared" si="55"/>
        <v>434698.97</v>
      </c>
      <c r="O498" s="6"/>
      <c r="S498" s="7"/>
      <c r="T498" s="7"/>
      <c r="U498" s="7"/>
      <c r="V498" s="7"/>
      <c r="W498" s="7"/>
      <c r="X498" s="7"/>
      <c r="Y498" s="6"/>
    </row>
    <row r="499" spans="1:25" ht="13.5" thickBot="1">
      <c r="A499" s="496"/>
      <c r="B499" s="421" t="s">
        <v>8</v>
      </c>
      <c r="C499" s="422">
        <f>1328033.21+160292.02</f>
        <v>1488325.23</v>
      </c>
      <c r="D499" s="422">
        <v>156096.09</v>
      </c>
      <c r="E499" s="423">
        <v>188171.42</v>
      </c>
      <c r="F499" s="422">
        <f>237303.68+26963.18</f>
        <v>264266.86</v>
      </c>
      <c r="G499" s="422">
        <v>167652.28</v>
      </c>
      <c r="H499" s="422">
        <v>481124.86</v>
      </c>
      <c r="I499" s="424">
        <v>196323.33</v>
      </c>
      <c r="J499" s="424">
        <v>95919.89</v>
      </c>
      <c r="K499" s="424">
        <v>1161.75</v>
      </c>
      <c r="L499" s="424">
        <v>0</v>
      </c>
      <c r="M499" s="425">
        <v>0</v>
      </c>
      <c r="N499" s="420">
        <f t="shared" si="55"/>
        <v>3039041.71</v>
      </c>
      <c r="O499" s="6">
        <f>SUM(N498:N499)</f>
        <v>3473740.6799999997</v>
      </c>
      <c r="S499" s="7"/>
      <c r="T499" s="7"/>
      <c r="U499" s="7"/>
      <c r="V499" s="7"/>
      <c r="W499" s="7"/>
      <c r="X499" s="7"/>
      <c r="Y499" s="6"/>
    </row>
    <row r="500" spans="1:25" ht="12.75">
      <c r="A500" s="511" t="s">
        <v>138</v>
      </c>
      <c r="B500" s="427" t="s">
        <v>7</v>
      </c>
      <c r="C500" s="428">
        <v>508508.6700000012</v>
      </c>
      <c r="D500" s="428"/>
      <c r="E500" s="428"/>
      <c r="F500" s="428">
        <v>59428.48</v>
      </c>
      <c r="G500" s="428">
        <v>18255.85</v>
      </c>
      <c r="H500" s="428"/>
      <c r="I500" s="429">
        <v>1314.8</v>
      </c>
      <c r="J500" s="429">
        <v>0</v>
      </c>
      <c r="K500" s="429"/>
      <c r="L500" s="429"/>
      <c r="M500" s="430"/>
      <c r="N500" s="431">
        <f aca="true" t="shared" si="56" ref="N500:N529">SUM(C500:M500)</f>
        <v>587507.8000000012</v>
      </c>
      <c r="O500" s="6"/>
      <c r="S500" s="7"/>
      <c r="T500" s="7"/>
      <c r="U500" s="7"/>
      <c r="V500" s="7"/>
      <c r="W500" s="7"/>
      <c r="X500" s="7"/>
      <c r="Y500" s="6"/>
    </row>
    <row r="501" spans="1:25" ht="13.5" thickBot="1">
      <c r="A501" s="512"/>
      <c r="B501" s="432" t="s">
        <v>8</v>
      </c>
      <c r="C501" s="433">
        <v>1793475.339999993</v>
      </c>
      <c r="D501" s="433">
        <v>202306.39</v>
      </c>
      <c r="E501" s="434">
        <v>348092.91</v>
      </c>
      <c r="F501" s="433">
        <v>151309.60000000003</v>
      </c>
      <c r="G501" s="433">
        <v>168220.01</v>
      </c>
      <c r="H501" s="433">
        <v>486495.19</v>
      </c>
      <c r="I501" s="435">
        <v>241073.33999999997</v>
      </c>
      <c r="J501" s="435">
        <v>109024.97</v>
      </c>
      <c r="K501" s="435">
        <v>2979.39</v>
      </c>
      <c r="L501" s="435"/>
      <c r="M501" s="436"/>
      <c r="N501" s="431">
        <f t="shared" si="56"/>
        <v>3502977.1399999936</v>
      </c>
      <c r="O501" s="6">
        <f>SUM(N500:N501)</f>
        <v>4090484.939999995</v>
      </c>
      <c r="S501" s="7"/>
      <c r="T501" s="7"/>
      <c r="U501" s="7"/>
      <c r="V501" s="7"/>
      <c r="W501" s="7"/>
      <c r="X501" s="7"/>
      <c r="Y501" s="6"/>
    </row>
    <row r="502" spans="1:25" ht="12.75">
      <c r="A502" s="500" t="s">
        <v>146</v>
      </c>
      <c r="B502" s="438" t="s">
        <v>7</v>
      </c>
      <c r="C502" s="439">
        <v>506319.7</v>
      </c>
      <c r="D502" s="439"/>
      <c r="E502" s="440"/>
      <c r="F502" s="439">
        <v>52773.54</v>
      </c>
      <c r="G502" s="439">
        <v>50326.04</v>
      </c>
      <c r="H502" s="439"/>
      <c r="I502" s="441">
        <v>1585.38</v>
      </c>
      <c r="J502" s="441"/>
      <c r="K502" s="441"/>
      <c r="L502" s="441"/>
      <c r="M502" s="442"/>
      <c r="N502" s="443">
        <f aca="true" t="shared" si="57" ref="N502:N507">SUM(C502:M502)</f>
        <v>611004.66</v>
      </c>
      <c r="O502" s="6"/>
      <c r="S502" s="7"/>
      <c r="T502" s="7"/>
      <c r="U502" s="7"/>
      <c r="V502" s="7"/>
      <c r="W502" s="7"/>
      <c r="X502" s="7"/>
      <c r="Y502" s="6"/>
    </row>
    <row r="503" spans="1:25" ht="13.5" thickBot="1">
      <c r="A503" s="501"/>
      <c r="B503" s="444" t="s">
        <v>8</v>
      </c>
      <c r="C503" s="445">
        <v>1826575.62</v>
      </c>
      <c r="D503" s="445">
        <v>274371.71</v>
      </c>
      <c r="E503" s="461">
        <v>415760.36</v>
      </c>
      <c r="F503" s="445">
        <v>157737.2</v>
      </c>
      <c r="G503" s="445">
        <v>109489.27</v>
      </c>
      <c r="H503" s="445">
        <v>570605.25</v>
      </c>
      <c r="I503" s="447">
        <v>305115.84</v>
      </c>
      <c r="J503" s="447">
        <v>100789.44</v>
      </c>
      <c r="K503" s="447">
        <v>3864.87</v>
      </c>
      <c r="L503" s="447"/>
      <c r="M503" s="448"/>
      <c r="N503" s="443">
        <f t="shared" si="57"/>
        <v>3764309.56</v>
      </c>
      <c r="O503" s="6">
        <f>SUM(N502:N503)</f>
        <v>4375314.22</v>
      </c>
      <c r="S503" s="7"/>
      <c r="T503" s="7"/>
      <c r="U503" s="7"/>
      <c r="V503" s="7"/>
      <c r="W503" s="7"/>
      <c r="X503" s="7"/>
      <c r="Y503" s="6"/>
    </row>
    <row r="504" spans="1:25" ht="12.75">
      <c r="A504" s="508" t="s">
        <v>165</v>
      </c>
      <c r="B504" s="449" t="s">
        <v>7</v>
      </c>
      <c r="C504" s="450">
        <v>704681.9700000014</v>
      </c>
      <c r="D504" s="450"/>
      <c r="E504" s="451"/>
      <c r="F504" s="450">
        <f>6358.3+28375.27</f>
        <v>34733.57</v>
      </c>
      <c r="G504" s="450">
        <v>45146.7</v>
      </c>
      <c r="H504" s="450"/>
      <c r="I504" s="452">
        <v>1515.1</v>
      </c>
      <c r="J504" s="452"/>
      <c r="K504" s="452"/>
      <c r="L504" s="452"/>
      <c r="M504" s="453"/>
      <c r="N504" s="454">
        <f t="shared" si="57"/>
        <v>786077.3400000012</v>
      </c>
      <c r="O504" s="6"/>
      <c r="S504" s="7"/>
      <c r="T504" s="7"/>
      <c r="U504" s="7"/>
      <c r="V504" s="7"/>
      <c r="W504" s="7"/>
      <c r="X504" s="7"/>
      <c r="Y504" s="6"/>
    </row>
    <row r="505" spans="1:25" ht="13.5" thickBot="1">
      <c r="A505" s="509"/>
      <c r="B505" s="455" t="s">
        <v>8</v>
      </c>
      <c r="C505" s="456">
        <v>1831494.12</v>
      </c>
      <c r="D505" s="456">
        <v>247278</v>
      </c>
      <c r="E505" s="460">
        <v>411179.65</v>
      </c>
      <c r="F505" s="456">
        <v>155482.16</v>
      </c>
      <c r="G505" s="456">
        <v>141609.73</v>
      </c>
      <c r="H505" s="456">
        <v>649501.16</v>
      </c>
      <c r="I505" s="458">
        <v>327483.64</v>
      </c>
      <c r="J505" s="458">
        <v>96036.25</v>
      </c>
      <c r="K505" s="458">
        <v>3291.28</v>
      </c>
      <c r="L505" s="458"/>
      <c r="M505" s="459"/>
      <c r="N505" s="454">
        <f t="shared" si="57"/>
        <v>3863355.99</v>
      </c>
      <c r="O505" s="6">
        <f>SUM(N504:N505)</f>
        <v>4649433.330000002</v>
      </c>
      <c r="S505" s="7"/>
      <c r="T505" s="7"/>
      <c r="U505" s="7"/>
      <c r="V505" s="7"/>
      <c r="W505" s="7"/>
      <c r="X505" s="7"/>
      <c r="Y505" s="6"/>
    </row>
    <row r="506" spans="1:25" ht="12.75">
      <c r="A506" s="498" t="s">
        <v>180</v>
      </c>
      <c r="B506" s="462" t="s">
        <v>7</v>
      </c>
      <c r="C506" s="463">
        <v>597286.71</v>
      </c>
      <c r="D506" s="463">
        <v>0</v>
      </c>
      <c r="E506" s="464">
        <v>0</v>
      </c>
      <c r="F506" s="463">
        <v>24860.66</v>
      </c>
      <c r="G506" s="463">
        <v>35286.35</v>
      </c>
      <c r="H506" s="463">
        <v>0</v>
      </c>
      <c r="I506" s="465">
        <v>1313.38</v>
      </c>
      <c r="J506" s="465">
        <v>0</v>
      </c>
      <c r="K506" s="465">
        <v>0</v>
      </c>
      <c r="L506" s="465">
        <v>0</v>
      </c>
      <c r="M506" s="466">
        <v>0</v>
      </c>
      <c r="N506" s="467">
        <f t="shared" si="57"/>
        <v>658747.1</v>
      </c>
      <c r="O506" s="6"/>
      <c r="S506" s="7"/>
      <c r="T506" s="7"/>
      <c r="U506" s="7"/>
      <c r="V506" s="7"/>
      <c r="W506" s="7"/>
      <c r="X506" s="7"/>
      <c r="Y506" s="6"/>
    </row>
    <row r="507" spans="1:25" ht="13.5" thickBot="1">
      <c r="A507" s="499"/>
      <c r="B507" s="468" t="s">
        <v>8</v>
      </c>
      <c r="C507" s="469">
        <v>1930149.85</v>
      </c>
      <c r="D507" s="469">
        <v>290170.19</v>
      </c>
      <c r="E507" s="470">
        <v>450684.09</v>
      </c>
      <c r="F507" s="469">
        <v>166357.12</v>
      </c>
      <c r="G507" s="469">
        <v>144077.16</v>
      </c>
      <c r="H507" s="469">
        <v>643029.51</v>
      </c>
      <c r="I507" s="471">
        <v>326348</v>
      </c>
      <c r="J507" s="471">
        <v>0</v>
      </c>
      <c r="K507" s="471">
        <v>807.4</v>
      </c>
      <c r="L507" s="471">
        <v>0</v>
      </c>
      <c r="M507" s="472">
        <v>0</v>
      </c>
      <c r="N507" s="467">
        <f t="shared" si="57"/>
        <v>3951623.32</v>
      </c>
      <c r="O507" s="6">
        <f>SUM(N506:N507)</f>
        <v>4610370.42</v>
      </c>
      <c r="S507" s="7"/>
      <c r="T507" s="7"/>
      <c r="U507" s="7"/>
      <c r="V507" s="7"/>
      <c r="W507" s="7"/>
      <c r="X507" s="7"/>
      <c r="Y507" s="6"/>
    </row>
    <row r="508" spans="1:25" ht="12.75">
      <c r="A508" s="493" t="s">
        <v>186</v>
      </c>
      <c r="B508" s="473" t="s">
        <v>7</v>
      </c>
      <c r="C508" s="474">
        <v>0</v>
      </c>
      <c r="D508" s="474">
        <v>0</v>
      </c>
      <c r="E508" s="474">
        <v>0</v>
      </c>
      <c r="F508" s="474">
        <v>0</v>
      </c>
      <c r="G508" s="474">
        <v>133.45</v>
      </c>
      <c r="H508" s="474">
        <v>0</v>
      </c>
      <c r="I508" s="475">
        <v>0</v>
      </c>
      <c r="J508" s="475">
        <v>0</v>
      </c>
      <c r="K508" s="475">
        <v>0</v>
      </c>
      <c r="L508" s="475">
        <v>0</v>
      </c>
      <c r="M508" s="476">
        <v>0</v>
      </c>
      <c r="N508" s="477">
        <f>SUM(C508:M508)</f>
        <v>133.45</v>
      </c>
      <c r="O508" s="6"/>
      <c r="S508" s="7"/>
      <c r="T508" s="7"/>
      <c r="U508" s="7"/>
      <c r="V508" s="7"/>
      <c r="W508" s="7"/>
      <c r="X508" s="7"/>
      <c r="Y508" s="6"/>
    </row>
    <row r="509" spans="1:25" ht="13.5" thickBot="1">
      <c r="A509" s="494"/>
      <c r="B509" s="478" t="s">
        <v>8</v>
      </c>
      <c r="C509" s="479">
        <v>1177114.96</v>
      </c>
      <c r="D509" s="479">
        <v>231717.08</v>
      </c>
      <c r="E509" s="480">
        <v>265749.24</v>
      </c>
      <c r="F509" s="479">
        <v>74342.38</v>
      </c>
      <c r="G509" s="479">
        <v>35147.09</v>
      </c>
      <c r="H509" s="479">
        <v>483586.13</v>
      </c>
      <c r="I509" s="481">
        <v>191287.67</v>
      </c>
      <c r="J509" s="481">
        <v>0</v>
      </c>
      <c r="K509" s="481">
        <v>0</v>
      </c>
      <c r="L509" s="481">
        <v>0</v>
      </c>
      <c r="M509" s="482">
        <v>0</v>
      </c>
      <c r="N509" s="477">
        <f>SUM(C509:M509)</f>
        <v>2458944.5500000003</v>
      </c>
      <c r="O509" s="6">
        <f>SUM(N508:N509)</f>
        <v>2459078.0000000005</v>
      </c>
      <c r="S509" s="7"/>
      <c r="T509" s="7"/>
      <c r="U509" s="7"/>
      <c r="V509" s="7"/>
      <c r="W509" s="7"/>
      <c r="X509" s="7"/>
      <c r="Y509" s="6"/>
    </row>
    <row r="510" spans="1:25" ht="12.75">
      <c r="A510" s="538" t="s">
        <v>200</v>
      </c>
      <c r="B510" s="483" t="s">
        <v>7</v>
      </c>
      <c r="C510" s="484">
        <v>0</v>
      </c>
      <c r="D510" s="484">
        <v>0</v>
      </c>
      <c r="E510" s="484">
        <v>0</v>
      </c>
      <c r="F510" s="484">
        <v>0</v>
      </c>
      <c r="G510" s="484"/>
      <c r="H510" s="484">
        <v>0</v>
      </c>
      <c r="I510" s="485">
        <v>0</v>
      </c>
      <c r="J510" s="485">
        <v>0</v>
      </c>
      <c r="K510" s="485">
        <v>0</v>
      </c>
      <c r="L510" s="485">
        <v>0</v>
      </c>
      <c r="M510" s="486">
        <v>0</v>
      </c>
      <c r="N510" s="487">
        <f>SUM(C510:M510)</f>
        <v>0</v>
      </c>
      <c r="O510" s="6"/>
      <c r="S510" s="7"/>
      <c r="T510" s="7"/>
      <c r="U510" s="7"/>
      <c r="V510" s="7"/>
      <c r="W510" s="7"/>
      <c r="X510" s="7"/>
      <c r="Y510" s="6"/>
    </row>
    <row r="511" spans="1:25" ht="13.5" thickBot="1">
      <c r="A511" s="539"/>
      <c r="B511" s="488" t="s">
        <v>8</v>
      </c>
      <c r="C511" s="489"/>
      <c r="D511" s="489"/>
      <c r="E511" s="490"/>
      <c r="F511" s="489"/>
      <c r="G511" s="489"/>
      <c r="H511" s="489"/>
      <c r="I511" s="491"/>
      <c r="J511" s="491">
        <v>0</v>
      </c>
      <c r="K511" s="491">
        <v>0</v>
      </c>
      <c r="L511" s="491">
        <v>0</v>
      </c>
      <c r="M511" s="492">
        <v>0</v>
      </c>
      <c r="N511" s="487">
        <f>SUM(C511:M511)</f>
        <v>0</v>
      </c>
      <c r="O511" s="6">
        <f>SUM(N510:N511)</f>
        <v>0</v>
      </c>
      <c r="S511" s="7"/>
      <c r="T511" s="7"/>
      <c r="U511" s="7"/>
      <c r="V511" s="7"/>
      <c r="W511" s="7"/>
      <c r="X511" s="7"/>
      <c r="Y511" s="6"/>
    </row>
    <row r="512" spans="1:14" ht="12.75">
      <c r="A512" s="504">
        <v>36495</v>
      </c>
      <c r="B512" s="34" t="s">
        <v>7</v>
      </c>
      <c r="C512" s="87">
        <v>464544.31</v>
      </c>
      <c r="D512" s="87">
        <v>29193.59</v>
      </c>
      <c r="E512" s="87">
        <v>1925.65</v>
      </c>
      <c r="F512" s="87">
        <v>1369685</v>
      </c>
      <c r="G512" s="87"/>
      <c r="H512" s="87"/>
      <c r="I512" s="107">
        <v>23.54</v>
      </c>
      <c r="J512" s="107"/>
      <c r="K512" s="107"/>
      <c r="L512" s="107"/>
      <c r="M512" s="35">
        <v>15041.03</v>
      </c>
      <c r="N512" s="5">
        <f t="shared" si="56"/>
        <v>1880413.12</v>
      </c>
    </row>
    <row r="513" spans="1:15" ht="12.75">
      <c r="A513" s="505"/>
      <c r="B513" s="36" t="s">
        <v>8</v>
      </c>
      <c r="C513" s="88">
        <v>24338.95</v>
      </c>
      <c r="D513" s="88">
        <v>0</v>
      </c>
      <c r="E513" s="88">
        <v>109.98</v>
      </c>
      <c r="F513" s="88">
        <v>39536.01</v>
      </c>
      <c r="G513" s="88"/>
      <c r="H513" s="88"/>
      <c r="I513" s="108">
        <v>0</v>
      </c>
      <c r="J513" s="108"/>
      <c r="K513" s="108"/>
      <c r="L513" s="108"/>
      <c r="M513" s="37">
        <v>0</v>
      </c>
      <c r="N513" s="5">
        <f t="shared" si="56"/>
        <v>63984.94</v>
      </c>
      <c r="O513" s="6">
        <f>SUM(N512:N513)</f>
        <v>1944398.06</v>
      </c>
    </row>
    <row r="514" spans="1:15" ht="12.75">
      <c r="A514" s="510">
        <f>A512+366</f>
        <v>36861</v>
      </c>
      <c r="B514" s="42" t="s">
        <v>7</v>
      </c>
      <c r="C514" s="90">
        <f>'[1]2000'!C30</f>
        <v>628139.77</v>
      </c>
      <c r="D514" s="90">
        <f>'[1]2000'!D30</f>
        <v>47423.21</v>
      </c>
      <c r="E514" s="90">
        <f>'[1]2000'!E30</f>
        <v>9904.37</v>
      </c>
      <c r="F514" s="90">
        <f>'[1]2000'!F30</f>
        <v>1132369</v>
      </c>
      <c r="G514" s="90"/>
      <c r="H514" s="90"/>
      <c r="I514" s="110">
        <f>'[1]2000'!G30</f>
        <v>42359.64</v>
      </c>
      <c r="J514" s="110"/>
      <c r="K514" s="110"/>
      <c r="L514" s="110"/>
      <c r="M514" s="43">
        <f>'[1]2000'!H30</f>
        <v>13540</v>
      </c>
      <c r="N514" s="13">
        <f t="shared" si="56"/>
        <v>1873735.99</v>
      </c>
      <c r="O514" s="6"/>
    </row>
    <row r="515" spans="1:15" ht="12.75">
      <c r="A515" s="510"/>
      <c r="B515" s="44" t="s">
        <v>8</v>
      </c>
      <c r="C515" s="91">
        <f>'[1]2000'!C31</f>
        <v>33059.99</v>
      </c>
      <c r="D515" s="91">
        <f>'[1]2000'!D31</f>
        <v>0</v>
      </c>
      <c r="E515" s="91">
        <f>'[1]2000'!E31</f>
        <v>7982.16</v>
      </c>
      <c r="F515" s="91">
        <f>'[1]2000'!F31</f>
        <v>90166.89</v>
      </c>
      <c r="G515" s="91"/>
      <c r="H515" s="91"/>
      <c r="I515" s="111">
        <f>'[1]2000'!G31</f>
        <v>70896.87</v>
      </c>
      <c r="J515" s="111"/>
      <c r="K515" s="111"/>
      <c r="L515" s="111"/>
      <c r="M515" s="45">
        <f>'[1]2000'!H31</f>
        <v>1311.92</v>
      </c>
      <c r="N515" s="13">
        <f t="shared" si="56"/>
        <v>203417.83</v>
      </c>
      <c r="O515" s="6">
        <f>SUM(N514:N515)</f>
        <v>2077153.82</v>
      </c>
    </row>
    <row r="516" spans="1:17" ht="12.75">
      <c r="A516" s="497">
        <f>A514+366</f>
        <v>37227</v>
      </c>
      <c r="B516" s="46" t="s">
        <v>7</v>
      </c>
      <c r="C516" s="83">
        <v>397724.51</v>
      </c>
      <c r="D516" s="83">
        <v>18906.56</v>
      </c>
      <c r="E516" s="83">
        <v>518</v>
      </c>
      <c r="F516" s="83">
        <f>800381.94+9206.86</f>
        <v>809588.7999999999</v>
      </c>
      <c r="G516" s="83"/>
      <c r="H516" s="83"/>
      <c r="I516" s="105">
        <v>0</v>
      </c>
      <c r="J516" s="105"/>
      <c r="K516" s="105"/>
      <c r="L516" s="105"/>
      <c r="M516" s="27">
        <v>9174.45</v>
      </c>
      <c r="N516" s="14">
        <f t="shared" si="56"/>
        <v>1235912.3199999998</v>
      </c>
      <c r="Q516" s="6"/>
    </row>
    <row r="517" spans="1:17" ht="12.75">
      <c r="A517" s="497"/>
      <c r="B517" s="47" t="s">
        <v>8</v>
      </c>
      <c r="C517" s="84">
        <v>20932.87</v>
      </c>
      <c r="D517" s="84">
        <v>64822.47</v>
      </c>
      <c r="E517" s="84">
        <v>1927.55</v>
      </c>
      <c r="F517" s="84">
        <v>90330.98</v>
      </c>
      <c r="G517" s="84"/>
      <c r="H517" s="84"/>
      <c r="I517" s="20">
        <v>60594.49</v>
      </c>
      <c r="J517" s="20"/>
      <c r="K517" s="20"/>
      <c r="L517" s="20"/>
      <c r="M517" s="29">
        <v>3716.27</v>
      </c>
      <c r="N517" s="14">
        <f t="shared" si="56"/>
        <v>242324.62999999998</v>
      </c>
      <c r="O517" s="6">
        <f>SUM(N516:N517)</f>
        <v>1478236.9499999997</v>
      </c>
      <c r="Q517" s="6"/>
    </row>
    <row r="518" spans="1:17" ht="12.75">
      <c r="A518" s="493">
        <v>37591</v>
      </c>
      <c r="B518" s="30" t="s">
        <v>7</v>
      </c>
      <c r="C518" s="85">
        <v>325750.48</v>
      </c>
      <c r="D518" s="85">
        <v>27947.98</v>
      </c>
      <c r="E518" s="85"/>
      <c r="F518" s="85">
        <v>710361.39</v>
      </c>
      <c r="G518" s="85"/>
      <c r="H518" s="85"/>
      <c r="I518" s="106">
        <v>83839</v>
      </c>
      <c r="J518" s="106"/>
      <c r="K518" s="106"/>
      <c r="L518" s="106"/>
      <c r="M518" s="31">
        <v>11266.42</v>
      </c>
      <c r="N518" s="19">
        <f t="shared" si="56"/>
        <v>1159165.27</v>
      </c>
      <c r="O518" s="6"/>
      <c r="Q518" s="6"/>
    </row>
    <row r="519" spans="1:17" ht="12.75">
      <c r="A519" s="494"/>
      <c r="B519" s="32" t="s">
        <v>8</v>
      </c>
      <c r="C519" s="86">
        <v>130330.65</v>
      </c>
      <c r="D519" s="86">
        <v>120160</v>
      </c>
      <c r="E519" s="86">
        <v>20272.03</v>
      </c>
      <c r="F519" s="86">
        <v>83602.94</v>
      </c>
      <c r="G519" s="86"/>
      <c r="H519" s="86">
        <v>13985.11</v>
      </c>
      <c r="I519" s="22">
        <v>84116.1</v>
      </c>
      <c r="J519" s="22"/>
      <c r="K519" s="22"/>
      <c r="L519" s="22"/>
      <c r="M519" s="33">
        <v>8557.21</v>
      </c>
      <c r="N519" s="19">
        <f t="shared" si="56"/>
        <v>461024.04</v>
      </c>
      <c r="O519" s="6">
        <f>SUM(N518:N519)</f>
        <v>1620189.31</v>
      </c>
      <c r="Q519" s="6"/>
    </row>
    <row r="520" spans="1:17" ht="12.75">
      <c r="A520" s="519">
        <v>37956</v>
      </c>
      <c r="B520" s="122" t="s">
        <v>7</v>
      </c>
      <c r="C520" s="116">
        <v>278479.16</v>
      </c>
      <c r="D520" s="116">
        <v>30471.39</v>
      </c>
      <c r="E520" s="116"/>
      <c r="F520" s="116">
        <f>694096.08+-8803.11</f>
        <v>685292.97</v>
      </c>
      <c r="G520" s="116"/>
      <c r="H520" s="116"/>
      <c r="I520" s="117">
        <v>15624.75</v>
      </c>
      <c r="J520" s="117"/>
      <c r="K520" s="117"/>
      <c r="L520" s="117"/>
      <c r="M520" s="118">
        <v>10192.4</v>
      </c>
      <c r="N520" s="113">
        <f t="shared" si="56"/>
        <v>1020060.67</v>
      </c>
      <c r="O520" s="6"/>
      <c r="Q520" s="6"/>
    </row>
    <row r="521" spans="1:17" ht="13.5" thickBot="1">
      <c r="A521" s="520"/>
      <c r="B521" s="123" t="s">
        <v>8</v>
      </c>
      <c r="C521" s="124">
        <v>195052.34</v>
      </c>
      <c r="D521" s="124">
        <v>155211.13</v>
      </c>
      <c r="E521" s="124">
        <v>78636.97</v>
      </c>
      <c r="F521" s="124">
        <f>144646.19</f>
        <v>144646.19</v>
      </c>
      <c r="G521" s="124"/>
      <c r="H521" s="124">
        <v>23966.69</v>
      </c>
      <c r="I521" s="125">
        <v>160797.89</v>
      </c>
      <c r="J521" s="125"/>
      <c r="K521" s="125"/>
      <c r="L521" s="125"/>
      <c r="M521" s="126">
        <v>8372.7</v>
      </c>
      <c r="N521" s="113">
        <f t="shared" si="56"/>
        <v>766683.9099999998</v>
      </c>
      <c r="O521" s="6">
        <f>SUM(N520:N521)</f>
        <v>1786744.5799999998</v>
      </c>
      <c r="Q521" s="6"/>
    </row>
    <row r="522" spans="1:17" ht="12.75">
      <c r="A522" s="523">
        <v>38322</v>
      </c>
      <c r="B522" s="214" t="s">
        <v>7</v>
      </c>
      <c r="C522" s="215">
        <v>247356.3</v>
      </c>
      <c r="D522" s="215">
        <v>30507.09</v>
      </c>
      <c r="E522" s="215"/>
      <c r="F522" s="215">
        <f>1184276.82+27481.01</f>
        <v>1211757.83</v>
      </c>
      <c r="G522" s="215"/>
      <c r="H522" s="215"/>
      <c r="I522" s="216">
        <v>63166.56</v>
      </c>
      <c r="J522" s="216"/>
      <c r="K522" s="216"/>
      <c r="L522" s="216"/>
      <c r="M522" s="217">
        <v>13273.75</v>
      </c>
      <c r="N522" s="218">
        <f t="shared" si="56"/>
        <v>1566061.5300000003</v>
      </c>
      <c r="O522" s="6"/>
      <c r="Q522" s="6"/>
    </row>
    <row r="523" spans="1:17" ht="13.5" thickBot="1">
      <c r="A523" s="524"/>
      <c r="B523" s="219" t="s">
        <v>8</v>
      </c>
      <c r="C523" s="220">
        <v>177852.36</v>
      </c>
      <c r="D523" s="220">
        <v>80000.56</v>
      </c>
      <c r="E523" s="245">
        <v>46581.53</v>
      </c>
      <c r="F523" s="220">
        <v>137912.1</v>
      </c>
      <c r="G523" s="220"/>
      <c r="H523" s="220">
        <v>37710.58</v>
      </c>
      <c r="I523" s="221">
        <v>88548.73</v>
      </c>
      <c r="J523" s="221"/>
      <c r="K523" s="221"/>
      <c r="L523" s="221">
        <v>32214</v>
      </c>
      <c r="M523" s="222">
        <v>3991.23</v>
      </c>
      <c r="N523" s="218">
        <f t="shared" si="56"/>
        <v>604811.09</v>
      </c>
      <c r="O523" s="6">
        <f>SUM(N522:N523)</f>
        <v>2170872.62</v>
      </c>
      <c r="Q523" s="6"/>
    </row>
    <row r="524" spans="1:17" ht="12.75">
      <c r="A524" s="517">
        <v>38687</v>
      </c>
      <c r="B524" s="274" t="s">
        <v>7</v>
      </c>
      <c r="C524" s="275">
        <v>252450.46</v>
      </c>
      <c r="D524" s="275">
        <v>31858.33</v>
      </c>
      <c r="E524" s="275"/>
      <c r="F524" s="275">
        <f>4641.46+794717.99</f>
        <v>799359.45</v>
      </c>
      <c r="G524" s="275">
        <v>1350.3</v>
      </c>
      <c r="H524" s="275"/>
      <c r="I524" s="276">
        <v>14176.22</v>
      </c>
      <c r="J524" s="276"/>
      <c r="K524" s="276"/>
      <c r="L524" s="276"/>
      <c r="M524" s="277">
        <v>7545.94</v>
      </c>
      <c r="N524" s="273">
        <f t="shared" si="56"/>
        <v>1106740.7</v>
      </c>
      <c r="O524" s="6"/>
      <c r="Q524" s="6"/>
    </row>
    <row r="525" spans="1:17" ht="13.5" thickBot="1">
      <c r="A525" s="518"/>
      <c r="B525" s="278" t="s">
        <v>8</v>
      </c>
      <c r="C525" s="279">
        <f>349211.45</f>
        <v>349211.45</v>
      </c>
      <c r="D525" s="279">
        <v>79513.06</v>
      </c>
      <c r="E525" s="287">
        <v>27774.83</v>
      </c>
      <c r="F525" s="279">
        <f>98874.86</f>
        <v>98874.86</v>
      </c>
      <c r="G525" s="279">
        <v>39846.19</v>
      </c>
      <c r="H525" s="279">
        <v>87416.98</v>
      </c>
      <c r="I525" s="280">
        <v>87683.67</v>
      </c>
      <c r="J525" s="280"/>
      <c r="K525" s="280"/>
      <c r="L525" s="280">
        <v>8272</v>
      </c>
      <c r="M525" s="281">
        <v>7655.08</v>
      </c>
      <c r="N525" s="273">
        <f t="shared" si="56"/>
        <v>786248.1200000001</v>
      </c>
      <c r="O525" s="6">
        <f>SUM(N524:N525)</f>
        <v>1892988.82</v>
      </c>
      <c r="Q525" s="6"/>
    </row>
    <row r="526" spans="1:17" ht="12.75">
      <c r="A526" s="527">
        <v>39052</v>
      </c>
      <c r="B526" s="289" t="s">
        <v>7</v>
      </c>
      <c r="C526" s="290">
        <v>175269.96</v>
      </c>
      <c r="D526" s="290">
        <v>2722.13</v>
      </c>
      <c r="E526" s="290"/>
      <c r="F526" s="290">
        <f>1085689.14+99788.84</f>
        <v>1185477.98</v>
      </c>
      <c r="G526" s="290">
        <v>697.29</v>
      </c>
      <c r="H526" s="290"/>
      <c r="I526" s="291">
        <v>53067.43</v>
      </c>
      <c r="J526" s="291"/>
      <c r="K526" s="291"/>
      <c r="L526" s="291"/>
      <c r="M526" s="292">
        <v>10832.05</v>
      </c>
      <c r="N526" s="293">
        <f t="shared" si="56"/>
        <v>1428066.84</v>
      </c>
      <c r="O526" s="6"/>
      <c r="Q526" s="6"/>
    </row>
    <row r="527" spans="1:17" ht="13.5" thickBot="1">
      <c r="A527" s="528"/>
      <c r="B527" s="294" t="s">
        <v>8</v>
      </c>
      <c r="C527" s="295">
        <f>617548.83-30877.44</f>
        <v>586671.39</v>
      </c>
      <c r="D527" s="295">
        <v>194390.82</v>
      </c>
      <c r="E527" s="296">
        <v>61129.13</v>
      </c>
      <c r="F527" s="295">
        <f>139170.04</f>
        <v>139170.04</v>
      </c>
      <c r="G527" s="295">
        <v>78814.69</v>
      </c>
      <c r="H527" s="295">
        <v>126545.07</v>
      </c>
      <c r="I527" s="297">
        <v>155445.25</v>
      </c>
      <c r="J527" s="297"/>
      <c r="K527" s="297"/>
      <c r="L527" s="297"/>
      <c r="M527" s="298">
        <v>15078.664</v>
      </c>
      <c r="N527" s="293">
        <f t="shared" si="56"/>
        <v>1357245.0540000002</v>
      </c>
      <c r="O527" s="6">
        <f>SUM(N526:N527)</f>
        <v>2785311.8940000003</v>
      </c>
      <c r="Q527" s="6"/>
    </row>
    <row r="528" spans="1:17" ht="12.75">
      <c r="A528" s="502" t="s">
        <v>51</v>
      </c>
      <c r="B528" s="305" t="s">
        <v>7</v>
      </c>
      <c r="C528" s="306">
        <v>24483.9</v>
      </c>
      <c r="D528" s="306">
        <v>30625.21</v>
      </c>
      <c r="E528" s="306"/>
      <c r="F528" s="306">
        <f>2313.27+896688.86</f>
        <v>899002.13</v>
      </c>
      <c r="G528" s="306">
        <v>1714.25</v>
      </c>
      <c r="H528" s="306"/>
      <c r="I528" s="307">
        <v>34892.82</v>
      </c>
      <c r="J528" s="307"/>
      <c r="K528" s="307"/>
      <c r="L528" s="307"/>
      <c r="M528" s="308">
        <v>8543.42</v>
      </c>
      <c r="N528" s="304">
        <f t="shared" si="56"/>
        <v>999261.73</v>
      </c>
      <c r="O528" s="6"/>
      <c r="Q528" s="6"/>
    </row>
    <row r="529" spans="1:17" ht="13.5" thickBot="1">
      <c r="A529" s="503"/>
      <c r="B529" s="313" t="s">
        <v>8</v>
      </c>
      <c r="C529" s="314">
        <v>795495.1</v>
      </c>
      <c r="D529" s="314">
        <v>149021.59</v>
      </c>
      <c r="E529" s="315">
        <v>20651.74</v>
      </c>
      <c r="F529" s="314">
        <f>122497.8</f>
        <v>122497.8</v>
      </c>
      <c r="G529" s="314">
        <v>94730.88</v>
      </c>
      <c r="H529" s="314">
        <v>246077.78</v>
      </c>
      <c r="I529" s="316">
        <v>141544.21</v>
      </c>
      <c r="J529" s="316"/>
      <c r="K529" s="316"/>
      <c r="L529" s="316"/>
      <c r="M529" s="317">
        <v>8350.05</v>
      </c>
      <c r="N529" s="304">
        <f t="shared" si="56"/>
        <v>1578369.15</v>
      </c>
      <c r="O529" s="6">
        <f>SUM(N528:N529)</f>
        <v>2577630.88</v>
      </c>
      <c r="Q529" s="6"/>
    </row>
    <row r="530" spans="1:17" ht="12.75">
      <c r="A530" s="511" t="s">
        <v>64</v>
      </c>
      <c r="B530" s="318" t="s">
        <v>7</v>
      </c>
      <c r="C530" s="319">
        <v>74423.71</v>
      </c>
      <c r="D530" s="319">
        <v>0</v>
      </c>
      <c r="E530" s="319"/>
      <c r="F530" s="319">
        <f>206404.07+6250.72</f>
        <v>212654.79</v>
      </c>
      <c r="G530" s="319">
        <v>2680.97</v>
      </c>
      <c r="H530" s="319">
        <v>0</v>
      </c>
      <c r="I530" s="320">
        <v>30454.42</v>
      </c>
      <c r="J530" s="320"/>
      <c r="K530" s="320"/>
      <c r="L530" s="320">
        <v>0</v>
      </c>
      <c r="M530" s="321">
        <v>0</v>
      </c>
      <c r="N530" s="322">
        <f>SUM(B530:M530)</f>
        <v>320213.88999999996</v>
      </c>
      <c r="O530" s="6"/>
      <c r="Q530" s="6"/>
    </row>
    <row r="531" spans="1:17" ht="13.5" thickBot="1">
      <c r="A531" s="512"/>
      <c r="B531" s="323" t="s">
        <v>8</v>
      </c>
      <c r="C531" s="328">
        <v>830327.26</v>
      </c>
      <c r="D531" s="328">
        <v>135608.69</v>
      </c>
      <c r="E531" s="329">
        <v>136688.71</v>
      </c>
      <c r="F531" s="328">
        <f>132461.34</f>
        <v>132461.34</v>
      </c>
      <c r="G531" s="328">
        <v>88600.37</v>
      </c>
      <c r="H531" s="328">
        <v>229634.26</v>
      </c>
      <c r="I531" s="330">
        <v>113458.65</v>
      </c>
      <c r="J531" s="330"/>
      <c r="K531" s="330"/>
      <c r="L531" s="330">
        <v>0</v>
      </c>
      <c r="M531" s="331">
        <v>4043.43</v>
      </c>
      <c r="N531" s="322">
        <f>SUM(B531:M531)</f>
        <v>1670822.71</v>
      </c>
      <c r="O531" s="6">
        <f>SUM(N530:N531)</f>
        <v>1991036.5999999999</v>
      </c>
      <c r="Q531" s="6"/>
    </row>
    <row r="532" spans="1:25" ht="12.75">
      <c r="A532" s="532" t="s">
        <v>79</v>
      </c>
      <c r="B532" s="333" t="s">
        <v>7</v>
      </c>
      <c r="C532" s="334">
        <v>142314.26</v>
      </c>
      <c r="D532" s="334">
        <v>0</v>
      </c>
      <c r="E532" s="334">
        <v>0</v>
      </c>
      <c r="F532" s="334">
        <v>12717.96</v>
      </c>
      <c r="G532" s="334">
        <v>-3563.19</v>
      </c>
      <c r="H532" s="334">
        <v>0</v>
      </c>
      <c r="I532" s="335">
        <v>5965.23</v>
      </c>
      <c r="J532" s="335"/>
      <c r="K532" s="335">
        <v>0</v>
      </c>
      <c r="L532" s="335">
        <v>0</v>
      </c>
      <c r="M532" s="336">
        <v>0</v>
      </c>
      <c r="N532" s="337">
        <f>SUM(B532:M532)</f>
        <v>157434.26</v>
      </c>
      <c r="O532" s="6"/>
      <c r="S532" s="7"/>
      <c r="T532" s="7"/>
      <c r="U532" s="7"/>
      <c r="V532" s="7"/>
      <c r="W532" s="7"/>
      <c r="X532" s="7"/>
      <c r="Y532" s="6"/>
    </row>
    <row r="533" spans="1:25" ht="13.5" thickBot="1">
      <c r="A533" s="533"/>
      <c r="B533" s="338" t="s">
        <v>8</v>
      </c>
      <c r="C533" s="343">
        <v>822985.7</v>
      </c>
      <c r="D533" s="343">
        <v>104187.84</v>
      </c>
      <c r="E533" s="344">
        <v>124766.89</v>
      </c>
      <c r="F533" s="343">
        <v>121083.82</v>
      </c>
      <c r="G533" s="343">
        <v>115474.09</v>
      </c>
      <c r="H533" s="343">
        <v>173332.84</v>
      </c>
      <c r="I533" s="345">
        <v>127851.98</v>
      </c>
      <c r="J533" s="345"/>
      <c r="K533" s="345">
        <v>2906.94</v>
      </c>
      <c r="L533" s="345">
        <v>0</v>
      </c>
      <c r="M533" s="346">
        <v>0</v>
      </c>
      <c r="N533" s="337">
        <f>SUM(B533:M533)</f>
        <v>1592590.1</v>
      </c>
      <c r="O533" s="6">
        <f>SUM(N532:N533)</f>
        <v>1750024.36</v>
      </c>
      <c r="S533" s="7"/>
      <c r="T533" s="7"/>
      <c r="U533" s="7"/>
      <c r="V533" s="7"/>
      <c r="W533" s="7"/>
      <c r="X533" s="7"/>
      <c r="Y533" s="6"/>
    </row>
    <row r="534" spans="1:25" ht="12.75">
      <c r="A534" s="506" t="s">
        <v>93</v>
      </c>
      <c r="B534" s="347" t="s">
        <v>7</v>
      </c>
      <c r="C534" s="348">
        <v>211554.75</v>
      </c>
      <c r="D534" s="348">
        <v>156.07</v>
      </c>
      <c r="E534" s="348">
        <v>0</v>
      </c>
      <c r="F534" s="348">
        <f>50406.58+33652.85</f>
        <v>84059.43</v>
      </c>
      <c r="G534" s="348">
        <v>7596.95</v>
      </c>
      <c r="H534" s="348">
        <v>0</v>
      </c>
      <c r="I534" s="349">
        <v>17582.85</v>
      </c>
      <c r="J534" s="349"/>
      <c r="K534" s="349">
        <v>0</v>
      </c>
      <c r="L534" s="349">
        <v>0</v>
      </c>
      <c r="M534" s="350">
        <v>0</v>
      </c>
      <c r="N534" s="351">
        <f aca="true" t="shared" si="58" ref="N534:N541">SUM(C534:M534)</f>
        <v>320950.05</v>
      </c>
      <c r="O534" s="6"/>
      <c r="S534" s="7"/>
      <c r="T534" s="7"/>
      <c r="U534" s="7"/>
      <c r="V534" s="7"/>
      <c r="W534" s="7"/>
      <c r="X534" s="7"/>
      <c r="Y534" s="6"/>
    </row>
    <row r="535" spans="1:25" ht="13.5" thickBot="1">
      <c r="A535" s="507" t="s">
        <v>82</v>
      </c>
      <c r="B535" s="352" t="s">
        <v>8</v>
      </c>
      <c r="C535" s="353">
        <v>511944.5</v>
      </c>
      <c r="D535" s="353">
        <v>94039.98</v>
      </c>
      <c r="E535" s="354">
        <v>103724.41</v>
      </c>
      <c r="F535" s="353">
        <v>97785.12</v>
      </c>
      <c r="G535" s="353">
        <v>97967.01</v>
      </c>
      <c r="H535" s="353">
        <v>178885.99</v>
      </c>
      <c r="I535" s="355">
        <v>86521.33</v>
      </c>
      <c r="J535" s="355"/>
      <c r="K535" s="355">
        <v>1727.63</v>
      </c>
      <c r="L535" s="355">
        <v>0</v>
      </c>
      <c r="M535" s="356">
        <v>0</v>
      </c>
      <c r="N535" s="351">
        <f t="shared" si="58"/>
        <v>1172595.97</v>
      </c>
      <c r="O535" s="6">
        <f>SUM(N534:N535)</f>
        <v>1493546.02</v>
      </c>
      <c r="S535" s="7"/>
      <c r="T535" s="7"/>
      <c r="U535" s="7"/>
      <c r="V535" s="7"/>
      <c r="W535" s="7"/>
      <c r="X535" s="7"/>
      <c r="Y535" s="6"/>
    </row>
    <row r="536" spans="1:25" ht="12.75">
      <c r="A536" s="513" t="s">
        <v>108</v>
      </c>
      <c r="B536" s="357" t="s">
        <v>7</v>
      </c>
      <c r="C536" s="358">
        <f>152463.98</f>
        <v>152463.98</v>
      </c>
      <c r="D536" s="358">
        <v>0</v>
      </c>
      <c r="E536" s="358">
        <v>0</v>
      </c>
      <c r="F536" s="358">
        <f>13933.05+38729.72</f>
        <v>52662.770000000004</v>
      </c>
      <c r="G536" s="358">
        <f>13372.82</f>
        <v>13372.82</v>
      </c>
      <c r="H536" s="358">
        <v>0</v>
      </c>
      <c r="I536" s="359">
        <v>14609.11</v>
      </c>
      <c r="J536" s="359"/>
      <c r="K536" s="359">
        <v>0</v>
      </c>
      <c r="L536" s="359">
        <v>0</v>
      </c>
      <c r="M536" s="360">
        <v>0</v>
      </c>
      <c r="N536" s="361">
        <f t="shared" si="58"/>
        <v>233108.68</v>
      </c>
      <c r="O536" s="6"/>
      <c r="S536" s="7"/>
      <c r="T536" s="7"/>
      <c r="U536" s="7"/>
      <c r="V536" s="7"/>
      <c r="W536" s="7"/>
      <c r="X536" s="7"/>
      <c r="Y536" s="6"/>
    </row>
    <row r="537" spans="1:25" ht="12.75">
      <c r="A537" s="514" t="s">
        <v>82</v>
      </c>
      <c r="B537" s="377" t="s">
        <v>8</v>
      </c>
      <c r="C537" s="378">
        <f>830174.37</f>
        <v>830174.37</v>
      </c>
      <c r="D537" s="378">
        <v>96811.29</v>
      </c>
      <c r="E537" s="379">
        <v>151519.44</v>
      </c>
      <c r="F537" s="378">
        <f>175070.73</f>
        <v>175070.73</v>
      </c>
      <c r="G537" s="378">
        <f>139899.18</f>
        <v>139899.18</v>
      </c>
      <c r="H537" s="378">
        <v>223549.61</v>
      </c>
      <c r="I537" s="380">
        <v>117887.92</v>
      </c>
      <c r="J537" s="380"/>
      <c r="K537" s="380">
        <v>3162.27</v>
      </c>
      <c r="L537" s="380">
        <v>0</v>
      </c>
      <c r="M537" s="381">
        <v>0</v>
      </c>
      <c r="N537" s="361">
        <f t="shared" si="58"/>
        <v>1738074.81</v>
      </c>
      <c r="O537" s="6">
        <f>SUM(N536:N537)</f>
        <v>1971183.49</v>
      </c>
      <c r="S537" s="7"/>
      <c r="T537" s="7"/>
      <c r="U537" s="7"/>
      <c r="V537" s="7"/>
      <c r="W537" s="7"/>
      <c r="X537" s="7"/>
      <c r="Y537" s="6"/>
    </row>
    <row r="538" spans="1:25" ht="12.75">
      <c r="A538" s="546">
        <v>41244</v>
      </c>
      <c r="B538" s="382" t="s">
        <v>7</v>
      </c>
      <c r="C538" s="383">
        <v>281967.23</v>
      </c>
      <c r="D538" s="383">
        <v>0</v>
      </c>
      <c r="E538" s="383">
        <v>0</v>
      </c>
      <c r="F538" s="383">
        <f>89340.74+19972.8</f>
        <v>109313.54000000001</v>
      </c>
      <c r="G538" s="383">
        <v>6099.12</v>
      </c>
      <c r="H538" s="383">
        <v>0</v>
      </c>
      <c r="I538" s="384">
        <v>20861.91</v>
      </c>
      <c r="J538" s="384">
        <v>0</v>
      </c>
      <c r="K538" s="384">
        <v>0</v>
      </c>
      <c r="L538" s="384">
        <v>0</v>
      </c>
      <c r="M538" s="385">
        <v>0</v>
      </c>
      <c r="N538" s="371">
        <f t="shared" si="58"/>
        <v>418241.8</v>
      </c>
      <c r="O538" s="6"/>
      <c r="S538" s="7"/>
      <c r="T538" s="7"/>
      <c r="U538" s="7"/>
      <c r="V538" s="7"/>
      <c r="W538" s="7"/>
      <c r="X538" s="7"/>
      <c r="Y538" s="6"/>
    </row>
    <row r="539" spans="1:25" ht="13.5" thickBot="1">
      <c r="A539" s="547"/>
      <c r="B539" s="386" t="s">
        <v>8</v>
      </c>
      <c r="C539" s="387">
        <v>1018426.79</v>
      </c>
      <c r="D539" s="387">
        <v>121035.93</v>
      </c>
      <c r="E539" s="387">
        <v>137531.81</v>
      </c>
      <c r="F539" s="387">
        <f>178543.32</f>
        <v>178543.32</v>
      </c>
      <c r="G539" s="387">
        <v>121937.07</v>
      </c>
      <c r="H539" s="387">
        <v>314115.67</v>
      </c>
      <c r="I539" s="388">
        <v>158228.68</v>
      </c>
      <c r="J539" s="388">
        <f>19016.95+26465.13</f>
        <v>45482.08</v>
      </c>
      <c r="K539" s="388">
        <v>2952.64</v>
      </c>
      <c r="L539" s="388">
        <v>0</v>
      </c>
      <c r="M539" s="389">
        <v>0</v>
      </c>
      <c r="N539" s="371">
        <f t="shared" si="58"/>
        <v>2098253.99</v>
      </c>
      <c r="O539" s="6">
        <f>SUM(N538:N539)</f>
        <v>2516495.79</v>
      </c>
      <c r="S539" s="7"/>
      <c r="T539" s="7"/>
      <c r="U539" s="7"/>
      <c r="V539" s="7"/>
      <c r="W539" s="7"/>
      <c r="X539" s="7"/>
      <c r="Y539" s="6"/>
    </row>
    <row r="540" spans="1:25" ht="12.75">
      <c r="A540" s="521">
        <v>41609</v>
      </c>
      <c r="B540" s="390" t="s">
        <v>7</v>
      </c>
      <c r="C540" s="391">
        <v>174971.88</v>
      </c>
      <c r="D540" s="391">
        <v>0</v>
      </c>
      <c r="E540" s="391">
        <v>0</v>
      </c>
      <c r="F540" s="391">
        <f>51671.81+27672.35</f>
        <v>79344.16</v>
      </c>
      <c r="G540" s="391">
        <v>9229.91</v>
      </c>
      <c r="H540" s="391">
        <v>0</v>
      </c>
      <c r="I540" s="392">
        <v>20093.28</v>
      </c>
      <c r="J540" s="392">
        <v>0</v>
      </c>
      <c r="K540" s="392">
        <v>0</v>
      </c>
      <c r="L540" s="392">
        <v>0</v>
      </c>
      <c r="M540" s="393">
        <v>0</v>
      </c>
      <c r="N540" s="394">
        <f t="shared" si="58"/>
        <v>283639.23</v>
      </c>
      <c r="O540" s="6"/>
      <c r="S540" s="7"/>
      <c r="T540" s="7"/>
      <c r="U540" s="7"/>
      <c r="V540" s="7"/>
      <c r="W540" s="7"/>
      <c r="X540" s="7"/>
      <c r="Y540" s="6"/>
    </row>
    <row r="541" spans="1:25" ht="13.5" thickBot="1">
      <c r="A541" s="522"/>
      <c r="B541" s="399" t="s">
        <v>8</v>
      </c>
      <c r="C541" s="400">
        <v>1259681.77</v>
      </c>
      <c r="D541" s="400">
        <v>151015.79</v>
      </c>
      <c r="E541" s="400">
        <v>190275.08</v>
      </c>
      <c r="F541" s="400">
        <f>227317.94</f>
        <v>227317.94</v>
      </c>
      <c r="G541" s="400">
        <v>143820.65</v>
      </c>
      <c r="H541" s="400">
        <v>367764.37</v>
      </c>
      <c r="I541" s="401">
        <v>229079.77</v>
      </c>
      <c r="J541" s="401">
        <v>81916.05</v>
      </c>
      <c r="K541" s="401">
        <v>5154.32</v>
      </c>
      <c r="L541" s="401">
        <v>0</v>
      </c>
      <c r="M541" s="402">
        <v>0</v>
      </c>
      <c r="N541" s="394">
        <f t="shared" si="58"/>
        <v>2656025.7399999998</v>
      </c>
      <c r="O541" s="6">
        <f>SUM(N540:N541)</f>
        <v>2939664.9699999997</v>
      </c>
      <c r="S541" s="7"/>
      <c r="T541" s="7"/>
      <c r="U541" s="7"/>
      <c r="V541" s="7"/>
      <c r="W541" s="7"/>
      <c r="X541" s="7"/>
      <c r="Y541" s="6"/>
    </row>
    <row r="542" spans="1:25" ht="12.75">
      <c r="A542" s="515">
        <v>41974</v>
      </c>
      <c r="B542" s="403" t="s">
        <v>7</v>
      </c>
      <c r="C542" s="404">
        <f>242390.82+9634.11</f>
        <v>252024.93</v>
      </c>
      <c r="D542" s="404">
        <v>0</v>
      </c>
      <c r="E542" s="404">
        <v>0</v>
      </c>
      <c r="F542" s="404">
        <f>43392.38+24409.24</f>
        <v>67801.62</v>
      </c>
      <c r="G542" s="404">
        <v>152184.8</v>
      </c>
      <c r="H542" s="404">
        <v>0</v>
      </c>
      <c r="I542" s="405">
        <v>28198.69</v>
      </c>
      <c r="J542" s="405">
        <v>0</v>
      </c>
      <c r="K542" s="405">
        <v>0</v>
      </c>
      <c r="L542" s="405">
        <v>0</v>
      </c>
      <c r="M542" s="406">
        <v>0</v>
      </c>
      <c r="N542" s="407">
        <f aca="true" t="shared" si="59" ref="N542:N549">SUM(C542:M542)</f>
        <v>500210.04</v>
      </c>
      <c r="S542" s="7"/>
      <c r="T542" s="7"/>
      <c r="U542" s="7"/>
      <c r="V542" s="7"/>
      <c r="W542" s="7"/>
      <c r="X542" s="7"/>
      <c r="Y542" s="6"/>
    </row>
    <row r="543" spans="1:25" ht="13.5" thickBot="1">
      <c r="A543" s="516"/>
      <c r="B543" s="412" t="s">
        <v>8</v>
      </c>
      <c r="C543" s="413">
        <f>1365410.67+149812.79</f>
        <v>1515223.46</v>
      </c>
      <c r="D543" s="413">
        <v>218753.98</v>
      </c>
      <c r="E543" s="413">
        <v>271390.39</v>
      </c>
      <c r="F543" s="413">
        <f>8949.2+149266.01</f>
        <v>158215.21000000002</v>
      </c>
      <c r="G543" s="413">
        <v>22617.2</v>
      </c>
      <c r="H543" s="413">
        <v>267453.6</v>
      </c>
      <c r="I543" s="414">
        <v>237736.25</v>
      </c>
      <c r="J543" s="414">
        <v>126051.86</v>
      </c>
      <c r="K543" s="414">
        <v>3439.28</v>
      </c>
      <c r="L543" s="414">
        <v>0</v>
      </c>
      <c r="M543" s="415">
        <v>0</v>
      </c>
      <c r="N543" s="407">
        <f t="shared" si="59"/>
        <v>2820881.23</v>
      </c>
      <c r="O543" s="6">
        <f>SUM(N542:N543)</f>
        <v>3321091.27</v>
      </c>
      <c r="S543" s="7"/>
      <c r="T543" s="7"/>
      <c r="U543" s="7"/>
      <c r="V543" s="7"/>
      <c r="W543" s="7"/>
      <c r="X543" s="7"/>
      <c r="Y543" s="6"/>
    </row>
    <row r="544" spans="1:25" ht="12.75">
      <c r="A544" s="495" t="s">
        <v>127</v>
      </c>
      <c r="B544" s="416" t="s">
        <v>7</v>
      </c>
      <c r="C544" s="417">
        <f>132615.35+6224.43</f>
        <v>138839.78</v>
      </c>
      <c r="D544" s="417">
        <v>0</v>
      </c>
      <c r="E544" s="417">
        <v>0</v>
      </c>
      <c r="F544" s="417">
        <v>0</v>
      </c>
      <c r="G544" s="417">
        <v>0</v>
      </c>
      <c r="H544" s="417">
        <v>0</v>
      </c>
      <c r="I544" s="418">
        <v>13634.87</v>
      </c>
      <c r="J544" s="418">
        <v>0</v>
      </c>
      <c r="K544" s="418">
        <v>0</v>
      </c>
      <c r="L544" s="418">
        <v>0</v>
      </c>
      <c r="M544" s="419">
        <v>0</v>
      </c>
      <c r="N544" s="420">
        <f t="shared" si="59"/>
        <v>152474.65</v>
      </c>
      <c r="O544" s="6"/>
      <c r="S544" s="7"/>
      <c r="T544" s="7"/>
      <c r="U544" s="7"/>
      <c r="V544" s="7"/>
      <c r="W544" s="7"/>
      <c r="X544" s="7"/>
      <c r="Y544" s="6"/>
    </row>
    <row r="545" spans="1:25" ht="13.5" thickBot="1">
      <c r="A545" s="496"/>
      <c r="B545" s="421" t="s">
        <v>8</v>
      </c>
      <c r="C545" s="422">
        <f>1305187.48+182633.21</f>
        <v>1487820.69</v>
      </c>
      <c r="D545" s="422">
        <v>159249.73</v>
      </c>
      <c r="E545" s="423">
        <v>193795.51</v>
      </c>
      <c r="F545" s="422">
        <f>287259.01+1864.11</f>
        <v>289123.12</v>
      </c>
      <c r="G545" s="422">
        <v>172825.11</v>
      </c>
      <c r="H545" s="422">
        <v>561919.44</v>
      </c>
      <c r="I545" s="424">
        <v>188522.98</v>
      </c>
      <c r="J545" s="424">
        <v>113587.15</v>
      </c>
      <c r="K545" s="424">
        <v>5970.95</v>
      </c>
      <c r="L545" s="424">
        <v>0</v>
      </c>
      <c r="M545" s="425">
        <v>0</v>
      </c>
      <c r="N545" s="420">
        <f t="shared" si="59"/>
        <v>3172814.6799999997</v>
      </c>
      <c r="O545" s="6">
        <f>SUM(N544:N545)</f>
        <v>3325289.3299999996</v>
      </c>
      <c r="S545" s="7"/>
      <c r="T545" s="7"/>
      <c r="U545" s="7"/>
      <c r="V545" s="7"/>
      <c r="W545" s="7"/>
      <c r="X545" s="7"/>
      <c r="Y545" s="6"/>
    </row>
    <row r="546" spans="1:25" ht="12.75">
      <c r="A546" s="511" t="s">
        <v>139</v>
      </c>
      <c r="B546" s="427" t="s">
        <v>7</v>
      </c>
      <c r="C546" s="428">
        <v>189504.89</v>
      </c>
      <c r="D546" s="428">
        <v>0</v>
      </c>
      <c r="E546" s="428">
        <v>0</v>
      </c>
      <c r="F546" s="428">
        <v>30411.54</v>
      </c>
      <c r="G546" s="428">
        <v>18276.21</v>
      </c>
      <c r="H546" s="428">
        <v>0</v>
      </c>
      <c r="I546" s="429">
        <v>2034.45</v>
      </c>
      <c r="J546" s="429">
        <v>0</v>
      </c>
      <c r="K546" s="429">
        <v>0</v>
      </c>
      <c r="L546" s="429">
        <v>0</v>
      </c>
      <c r="M546" s="430">
        <v>0</v>
      </c>
      <c r="N546" s="431">
        <f t="shared" si="59"/>
        <v>240227.09000000003</v>
      </c>
      <c r="O546" s="6"/>
      <c r="S546" s="7"/>
      <c r="T546" s="7"/>
      <c r="U546" s="7"/>
      <c r="V546" s="7"/>
      <c r="W546" s="7"/>
      <c r="X546" s="7"/>
      <c r="Y546" s="6"/>
    </row>
    <row r="547" spans="1:25" ht="13.5" thickBot="1">
      <c r="A547" s="512"/>
      <c r="B547" s="432" t="s">
        <v>8</v>
      </c>
      <c r="C547" s="433">
        <v>1778209.78</v>
      </c>
      <c r="D547" s="433">
        <v>200243.98</v>
      </c>
      <c r="E547" s="434">
        <v>297806.96</v>
      </c>
      <c r="F547" s="433">
        <v>166902.55</v>
      </c>
      <c r="G547" s="433">
        <v>163064.91</v>
      </c>
      <c r="H547" s="433">
        <v>550839.42</v>
      </c>
      <c r="I547" s="435">
        <v>271771.02</v>
      </c>
      <c r="J547" s="435">
        <v>108871.20999999999</v>
      </c>
      <c r="K547" s="435">
        <v>96.18</v>
      </c>
      <c r="L547" s="435">
        <v>0</v>
      </c>
      <c r="M547" s="436">
        <v>0</v>
      </c>
      <c r="N547" s="431">
        <f t="shared" si="59"/>
        <v>3537806.0100000002</v>
      </c>
      <c r="O547" s="6">
        <f>SUM(N546:N547)</f>
        <v>3778033.1</v>
      </c>
      <c r="S547" s="7"/>
      <c r="T547" s="7"/>
      <c r="U547" s="7"/>
      <c r="V547" s="7"/>
      <c r="W547" s="7"/>
      <c r="X547" s="7"/>
      <c r="Y547" s="6"/>
    </row>
    <row r="548" spans="1:25" ht="12.75">
      <c r="A548" s="500" t="s">
        <v>145</v>
      </c>
      <c r="B548" s="438" t="s">
        <v>7</v>
      </c>
      <c r="C548" s="439">
        <v>209833.27000000002</v>
      </c>
      <c r="D548" s="439">
        <v>0</v>
      </c>
      <c r="E548" s="439">
        <v>0</v>
      </c>
      <c r="F548" s="439">
        <v>29792.62</v>
      </c>
      <c r="G548" s="439">
        <v>11733.07</v>
      </c>
      <c r="H548" s="439">
        <v>0</v>
      </c>
      <c r="I548" s="441">
        <v>3433.21</v>
      </c>
      <c r="J548" s="441">
        <v>0</v>
      </c>
      <c r="K548" s="441">
        <v>0</v>
      </c>
      <c r="L548" s="441">
        <v>0</v>
      </c>
      <c r="M548" s="442">
        <v>0</v>
      </c>
      <c r="N548" s="443">
        <f t="shared" si="59"/>
        <v>254792.17</v>
      </c>
      <c r="O548" s="6"/>
      <c r="S548" s="7"/>
      <c r="T548" s="7"/>
      <c r="U548" s="7"/>
      <c r="V548" s="7"/>
      <c r="W548" s="7"/>
      <c r="X548" s="7"/>
      <c r="Y548" s="6"/>
    </row>
    <row r="549" spans="1:25" ht="13.5" thickBot="1">
      <c r="A549" s="501"/>
      <c r="B549" s="444" t="s">
        <v>8</v>
      </c>
      <c r="C549" s="445">
        <v>2087283.8399999999</v>
      </c>
      <c r="D549" s="445">
        <v>239700.67</v>
      </c>
      <c r="E549" s="446">
        <v>381317.68</v>
      </c>
      <c r="F549" s="445">
        <v>196843.99</v>
      </c>
      <c r="G549" s="445">
        <v>149933.69</v>
      </c>
      <c r="H549" s="445">
        <v>576752.07</v>
      </c>
      <c r="I549" s="447">
        <v>350344.82</v>
      </c>
      <c r="J549" s="447">
        <v>79775.63</v>
      </c>
      <c r="K549" s="447">
        <v>5787.83</v>
      </c>
      <c r="L549" s="447">
        <v>0</v>
      </c>
      <c r="M549" s="448">
        <v>0</v>
      </c>
      <c r="N549" s="443">
        <f t="shared" si="59"/>
        <v>4067740.2199999993</v>
      </c>
      <c r="O549" s="6">
        <f>SUM(N548:N549)</f>
        <v>4322532.39</v>
      </c>
      <c r="S549" s="7"/>
      <c r="T549" s="7"/>
      <c r="U549" s="7"/>
      <c r="V549" s="7"/>
      <c r="W549" s="7"/>
      <c r="X549" s="7"/>
      <c r="Y549" s="6"/>
    </row>
    <row r="550" spans="1:25" ht="12.75">
      <c r="A550" s="508" t="s">
        <v>166</v>
      </c>
      <c r="B550" s="449" t="s">
        <v>7</v>
      </c>
      <c r="C550" s="450">
        <v>167939.22</v>
      </c>
      <c r="D550" s="450">
        <v>0</v>
      </c>
      <c r="E550" s="451">
        <v>0</v>
      </c>
      <c r="F550" s="450">
        <v>8264.96</v>
      </c>
      <c r="G550" s="450">
        <v>7442.36</v>
      </c>
      <c r="H550" s="450">
        <v>0</v>
      </c>
      <c r="I550" s="452">
        <v>1437.66</v>
      </c>
      <c r="J550" s="452">
        <v>0</v>
      </c>
      <c r="K550" s="452">
        <v>0</v>
      </c>
      <c r="L550" s="452">
        <v>0</v>
      </c>
      <c r="M550" s="453">
        <v>0</v>
      </c>
      <c r="N550" s="454">
        <f aca="true" t="shared" si="60" ref="N550:N555">SUM(C550:M550)</f>
        <v>185084.19999999998</v>
      </c>
      <c r="O550" s="6"/>
      <c r="S550" s="7"/>
      <c r="T550" s="7"/>
      <c r="U550" s="7"/>
      <c r="V550" s="7"/>
      <c r="W550" s="7"/>
      <c r="X550" s="7"/>
      <c r="Y550" s="6"/>
    </row>
    <row r="551" spans="1:25" ht="13.5" thickBot="1">
      <c r="A551" s="509"/>
      <c r="B551" s="455" t="s">
        <v>8</v>
      </c>
      <c r="C551" s="456">
        <v>1885153.02</v>
      </c>
      <c r="D551" s="456">
        <v>229474.87</v>
      </c>
      <c r="E551" s="457">
        <v>393485.26</v>
      </c>
      <c r="F551" s="456">
        <v>166263.86</v>
      </c>
      <c r="G551" s="456">
        <v>166787.06</v>
      </c>
      <c r="H551" s="456">
        <v>615460.52</v>
      </c>
      <c r="I551" s="458">
        <v>303155.93</v>
      </c>
      <c r="J551" s="458">
        <v>50588.28</v>
      </c>
      <c r="K551" s="458">
        <v>5796.12</v>
      </c>
      <c r="L551" s="458">
        <v>0</v>
      </c>
      <c r="M551" s="459">
        <v>0</v>
      </c>
      <c r="N551" s="454">
        <f t="shared" si="60"/>
        <v>3816164.9200000004</v>
      </c>
      <c r="O551" s="6">
        <f>SUM(N550:N551)</f>
        <v>4001249.1200000006</v>
      </c>
      <c r="S551" s="7"/>
      <c r="T551" s="7"/>
      <c r="U551" s="7"/>
      <c r="V551" s="7"/>
      <c r="W551" s="7"/>
      <c r="X551" s="7"/>
      <c r="Y551" s="6"/>
    </row>
    <row r="552" spans="1:25" ht="12.75">
      <c r="A552" s="498" t="s">
        <v>183</v>
      </c>
      <c r="B552" s="462" t="s">
        <v>7</v>
      </c>
      <c r="C552" s="463">
        <v>161256.13999999998</v>
      </c>
      <c r="D552" s="463">
        <v>0</v>
      </c>
      <c r="E552" s="464">
        <v>0</v>
      </c>
      <c r="F552" s="463">
        <v>8311.19</v>
      </c>
      <c r="G552" s="463">
        <v>15646.02</v>
      </c>
      <c r="H552" s="463">
        <v>0</v>
      </c>
      <c r="I552" s="465">
        <v>1237.39</v>
      </c>
      <c r="J552" s="465">
        <v>0</v>
      </c>
      <c r="K552" s="465">
        <v>0</v>
      </c>
      <c r="L552" s="465">
        <v>0</v>
      </c>
      <c r="M552" s="466">
        <v>0</v>
      </c>
      <c r="N552" s="467">
        <f t="shared" si="60"/>
        <v>186450.74</v>
      </c>
      <c r="O552" s="6"/>
      <c r="S552" s="7"/>
      <c r="T552" s="7"/>
      <c r="U552" s="7"/>
      <c r="V552" s="7"/>
      <c r="W552" s="7"/>
      <c r="X552" s="7"/>
      <c r="Y552" s="6"/>
    </row>
    <row r="553" spans="1:25" ht="13.5" thickBot="1">
      <c r="A553" s="499"/>
      <c r="B553" s="468" t="s">
        <v>8</v>
      </c>
      <c r="C553" s="469">
        <v>2226580.34</v>
      </c>
      <c r="D553" s="469">
        <v>433965.94</v>
      </c>
      <c r="E553" s="470">
        <v>467804.15</v>
      </c>
      <c r="F553" s="469">
        <v>168275.44</v>
      </c>
      <c r="G553" s="469">
        <v>184125.99</v>
      </c>
      <c r="H553" s="469">
        <v>779430.29</v>
      </c>
      <c r="I553" s="471">
        <v>395685.27</v>
      </c>
      <c r="J553" s="471">
        <v>0</v>
      </c>
      <c r="K553" s="471">
        <v>2657.03</v>
      </c>
      <c r="L553" s="471">
        <v>0</v>
      </c>
      <c r="M553" s="472">
        <v>0</v>
      </c>
      <c r="N553" s="467">
        <f t="shared" si="60"/>
        <v>4658524.45</v>
      </c>
      <c r="O553" s="6">
        <f>SUM(N552:N553)</f>
        <v>4844975.19</v>
      </c>
      <c r="S553" s="7"/>
      <c r="T553" s="7"/>
      <c r="U553" s="7"/>
      <c r="V553" s="7"/>
      <c r="W553" s="7"/>
      <c r="X553" s="7"/>
      <c r="Y553" s="6"/>
    </row>
    <row r="554" spans="1:25" ht="12.75">
      <c r="A554" s="493" t="s">
        <v>185</v>
      </c>
      <c r="B554" s="473" t="s">
        <v>7</v>
      </c>
      <c r="C554" s="474">
        <v>0</v>
      </c>
      <c r="D554" s="474">
        <v>0</v>
      </c>
      <c r="E554" s="474">
        <v>0</v>
      </c>
      <c r="F554" s="474">
        <v>1210.84</v>
      </c>
      <c r="G554" s="474">
        <v>0</v>
      </c>
      <c r="H554" s="474">
        <v>0</v>
      </c>
      <c r="I554" s="475">
        <v>49.97</v>
      </c>
      <c r="J554" s="475">
        <v>0</v>
      </c>
      <c r="K554" s="475">
        <v>0</v>
      </c>
      <c r="L554" s="475">
        <v>0</v>
      </c>
      <c r="M554" s="476">
        <v>0</v>
      </c>
      <c r="N554" s="477">
        <f t="shared" si="60"/>
        <v>1260.81</v>
      </c>
      <c r="O554" s="6"/>
      <c r="S554" s="7"/>
      <c r="T554" s="7"/>
      <c r="U554" s="7"/>
      <c r="V554" s="7"/>
      <c r="W554" s="7"/>
      <c r="X554" s="7"/>
      <c r="Y554" s="6"/>
    </row>
    <row r="555" spans="1:25" ht="13.5" thickBot="1">
      <c r="A555" s="494"/>
      <c r="B555" s="478" t="s">
        <v>8</v>
      </c>
      <c r="C555" s="479">
        <v>1061805.32</v>
      </c>
      <c r="D555" s="479">
        <v>232979.22</v>
      </c>
      <c r="E555" s="480">
        <v>252574.93</v>
      </c>
      <c r="F555" s="479">
        <v>91988.81</v>
      </c>
      <c r="G555" s="479">
        <v>17083.05</v>
      </c>
      <c r="H555" s="479">
        <v>422411.04</v>
      </c>
      <c r="I555" s="481">
        <v>162729.57</v>
      </c>
      <c r="J555" s="481">
        <v>0</v>
      </c>
      <c r="K555" s="481">
        <v>2346.24</v>
      </c>
      <c r="L555" s="481">
        <v>0</v>
      </c>
      <c r="M555" s="482">
        <v>0</v>
      </c>
      <c r="N555" s="477">
        <f t="shared" si="60"/>
        <v>2243918.18</v>
      </c>
      <c r="O555" s="6">
        <f>SUM(N554:N555)</f>
        <v>2245178.99</v>
      </c>
      <c r="S555" s="7"/>
      <c r="T555" s="7"/>
      <c r="U555" s="7"/>
      <c r="V555" s="7"/>
      <c r="W555" s="7"/>
      <c r="X555" s="7"/>
      <c r="Y555" s="6"/>
    </row>
    <row r="556" spans="1:25" ht="12.75">
      <c r="A556" s="538" t="s">
        <v>199</v>
      </c>
      <c r="B556" s="483" t="s">
        <v>7</v>
      </c>
      <c r="C556" s="484">
        <v>0</v>
      </c>
      <c r="D556" s="484">
        <v>0</v>
      </c>
      <c r="E556" s="484">
        <v>0</v>
      </c>
      <c r="F556" s="484"/>
      <c r="G556" s="484">
        <v>0</v>
      </c>
      <c r="H556" s="484">
        <v>0</v>
      </c>
      <c r="I556" s="485"/>
      <c r="J556" s="485">
        <v>0</v>
      </c>
      <c r="K556" s="485">
        <v>0</v>
      </c>
      <c r="L556" s="485">
        <v>0</v>
      </c>
      <c r="M556" s="486">
        <v>0</v>
      </c>
      <c r="N556" s="487">
        <f>SUM(C556:M556)</f>
        <v>0</v>
      </c>
      <c r="O556" s="6"/>
      <c r="S556" s="7"/>
      <c r="T556" s="7"/>
      <c r="U556" s="7"/>
      <c r="V556" s="7"/>
      <c r="W556" s="7"/>
      <c r="X556" s="7"/>
      <c r="Y556" s="6"/>
    </row>
    <row r="557" spans="1:25" ht="13.5" thickBot="1">
      <c r="A557" s="539"/>
      <c r="B557" s="488" t="s">
        <v>8</v>
      </c>
      <c r="C557" s="489"/>
      <c r="D557" s="489"/>
      <c r="E557" s="490"/>
      <c r="F557" s="489"/>
      <c r="G557" s="489"/>
      <c r="H557" s="489"/>
      <c r="I557" s="491"/>
      <c r="J557" s="491">
        <v>0</v>
      </c>
      <c r="K557" s="491"/>
      <c r="L557" s="491">
        <v>0</v>
      </c>
      <c r="M557" s="492">
        <v>0</v>
      </c>
      <c r="N557" s="487">
        <f>SUM(C557:M557)</f>
        <v>0</v>
      </c>
      <c r="O557" s="6">
        <f>SUM(N556:N557)</f>
        <v>0</v>
      </c>
      <c r="S557" s="7"/>
      <c r="T557" s="7"/>
      <c r="U557" s="7"/>
      <c r="V557" s="7"/>
      <c r="W557" s="7"/>
      <c r="X557" s="7"/>
      <c r="Y557" s="6"/>
    </row>
    <row r="558" spans="1:25" ht="12.75">
      <c r="A558" s="437"/>
      <c r="B558" s="2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S558" s="7"/>
      <c r="T558" s="7"/>
      <c r="U558" s="7"/>
      <c r="V558" s="7"/>
      <c r="W558" s="7"/>
      <c r="X558" s="7"/>
      <c r="Y558" s="6"/>
    </row>
    <row r="559" spans="1:25" ht="12.75">
      <c r="A559" s="437"/>
      <c r="B559" s="2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S559" s="7"/>
      <c r="T559" s="7"/>
      <c r="U559" s="7"/>
      <c r="V559" s="7"/>
      <c r="W559" s="7"/>
      <c r="X559" s="7"/>
      <c r="Y559" s="6"/>
    </row>
    <row r="560" spans="19:25" ht="12.75">
      <c r="S560" s="7"/>
      <c r="T560" s="7"/>
      <c r="U560" s="7"/>
      <c r="V560" s="7"/>
      <c r="W560" s="7"/>
      <c r="X560" s="7"/>
      <c r="Y560" s="6"/>
    </row>
    <row r="561" spans="19:25" ht="12.75">
      <c r="S561" s="7"/>
      <c r="T561" s="7"/>
      <c r="U561" s="7"/>
      <c r="V561" s="7"/>
      <c r="W561" s="7"/>
      <c r="X561" s="7"/>
      <c r="Y561" s="6"/>
    </row>
    <row r="562" spans="1:25" ht="12.75">
      <c r="A562" s="241"/>
      <c r="B562" s="2"/>
      <c r="C562" s="242"/>
      <c r="D562" s="242"/>
      <c r="E562" s="376"/>
      <c r="F562" s="242"/>
      <c r="G562" s="242"/>
      <c r="H562" s="242"/>
      <c r="I562" s="242"/>
      <c r="J562" s="242"/>
      <c r="K562" s="242"/>
      <c r="L562" s="242"/>
      <c r="M562" s="242"/>
      <c r="N562" s="6"/>
      <c r="O562" s="6"/>
      <c r="S562" s="7"/>
      <c r="T562" s="7"/>
      <c r="U562" s="7"/>
      <c r="V562" s="7"/>
      <c r="W562" s="7"/>
      <c r="X562" s="7"/>
      <c r="Y562" s="6"/>
    </row>
    <row r="563" spans="1:17" ht="13.5" thickBot="1">
      <c r="A563" s="241"/>
      <c r="B563" s="16"/>
      <c r="C563" s="242"/>
      <c r="D563" s="242"/>
      <c r="E563" s="242"/>
      <c r="F563" s="242"/>
      <c r="G563" s="242"/>
      <c r="H563" s="242"/>
      <c r="I563" s="242"/>
      <c r="J563" s="242"/>
      <c r="K563" s="242"/>
      <c r="L563" s="242"/>
      <c r="M563" s="242"/>
      <c r="N563" s="242"/>
      <c r="O563" s="244">
        <f>SUM(O6:O562)</f>
        <v>1192237590.3589997</v>
      </c>
      <c r="Q563" s="6"/>
    </row>
    <row r="564" spans="1:17" ht="12.75" customHeight="1" thickTop="1">
      <c r="A564" s="241"/>
      <c r="B564" s="16"/>
      <c r="C564" s="15"/>
      <c r="D564" s="242"/>
      <c r="E564" s="242"/>
      <c r="F564" s="242"/>
      <c r="G564" s="242"/>
      <c r="H564" s="242"/>
      <c r="I564" s="242"/>
      <c r="J564" s="242"/>
      <c r="K564" s="242"/>
      <c r="L564" s="242"/>
      <c r="M564" s="242"/>
      <c r="N564" s="242"/>
      <c r="O564" s="6"/>
      <c r="Q564" s="6"/>
    </row>
    <row r="565" spans="3:17" ht="12.75" customHeight="1">
      <c r="C565" s="15"/>
      <c r="E565" s="15"/>
      <c r="F565" s="15"/>
      <c r="G565" s="15"/>
      <c r="H565" s="15"/>
      <c r="I565" s="15"/>
      <c r="J565" s="15"/>
      <c r="K565" s="15"/>
      <c r="L565" s="15"/>
      <c r="M565" s="15"/>
      <c r="Q565" s="6"/>
    </row>
    <row r="566" spans="1:15" ht="12.75" customHeight="1">
      <c r="A566" t="s">
        <v>9</v>
      </c>
      <c r="B566" t="str">
        <f>B512</f>
        <v>Wholesale</v>
      </c>
      <c r="C566" s="6">
        <f aca="true" t="shared" si="61" ref="C566:F567">SUM(C512,C466,C420,C374,C328,C282,C236,C190,C144,C98,C52,C6)</f>
        <v>10992498.690000001</v>
      </c>
      <c r="D566" s="6">
        <f t="shared" si="61"/>
        <v>790575.8999999999</v>
      </c>
      <c r="E566" s="6">
        <f t="shared" si="61"/>
        <v>222920.91</v>
      </c>
      <c r="F566" s="6">
        <f t="shared" si="61"/>
        <v>33150368</v>
      </c>
      <c r="G566" s="6"/>
      <c r="H566" s="6">
        <f aca="true" t="shared" si="62" ref="H566:K567">SUM(H512,H466,H420,H374,H328,H282,H236,H190,H144,H98,H52,H6)</f>
        <v>0</v>
      </c>
      <c r="I566" s="6">
        <f t="shared" si="62"/>
        <v>56279.58</v>
      </c>
      <c r="J566" s="6">
        <f t="shared" si="62"/>
        <v>0</v>
      </c>
      <c r="K566" s="6">
        <f t="shared" si="62"/>
        <v>0</v>
      </c>
      <c r="L566" s="6"/>
      <c r="M566" s="6">
        <f>SUM(M512,M466,M420,M374,M328,M282,M236,M190,M144,M98,M52,M6)</f>
        <v>720315.38</v>
      </c>
      <c r="N566" s="6">
        <f>SUM(C566:M566)</f>
        <v>45932958.46</v>
      </c>
      <c r="O566" s="6"/>
    </row>
    <row r="567" spans="2:15" ht="12.75" customHeight="1">
      <c r="B567" t="str">
        <f>B513</f>
        <v>Retail</v>
      </c>
      <c r="C567" s="6">
        <f t="shared" si="61"/>
        <v>574942.9099999999</v>
      </c>
      <c r="D567" s="6">
        <f t="shared" si="61"/>
        <v>0</v>
      </c>
      <c r="E567" s="6">
        <f t="shared" si="61"/>
        <v>9910.41</v>
      </c>
      <c r="F567" s="6">
        <f t="shared" si="61"/>
        <v>557323.42</v>
      </c>
      <c r="G567" s="6"/>
      <c r="H567" s="6">
        <f t="shared" si="62"/>
        <v>0</v>
      </c>
      <c r="I567" s="6">
        <f t="shared" si="62"/>
        <v>44045.649999999994</v>
      </c>
      <c r="J567" s="6">
        <f t="shared" si="62"/>
        <v>0</v>
      </c>
      <c r="K567" s="6">
        <f t="shared" si="62"/>
        <v>0</v>
      </c>
      <c r="L567" s="6"/>
      <c r="M567" s="6">
        <f>SUM(M513,M467,M421,M375,M329,M283,M237,M191,M145,M99,M53,M7)</f>
        <v>0</v>
      </c>
      <c r="N567" s="6">
        <f>SUM(C567:M567)</f>
        <v>1186222.39</v>
      </c>
      <c r="O567" s="332">
        <f>SUM(N566:N567)</f>
        <v>47119180.85</v>
      </c>
    </row>
    <row r="568" ht="12.75" customHeight="1">
      <c r="O568" s="332"/>
    </row>
    <row r="569" spans="1:15" ht="12.75" customHeight="1">
      <c r="A569" t="s">
        <v>10</v>
      </c>
      <c r="B569" t="str">
        <f>B516</f>
        <v>Wholesale</v>
      </c>
      <c r="C569" s="6">
        <f aca="true" t="shared" si="63" ref="C569:F570">SUM(C514,C468,C422,C376,C330,C284,C238,C192,C146,C100,C54,C8)</f>
        <v>13116070.149999999</v>
      </c>
      <c r="D569" s="6">
        <f t="shared" si="63"/>
        <v>702754.6</v>
      </c>
      <c r="E569" s="6">
        <f t="shared" si="63"/>
        <v>247541.91</v>
      </c>
      <c r="F569" s="6">
        <f t="shared" si="63"/>
        <v>33229603</v>
      </c>
      <c r="G569" s="6"/>
      <c r="H569" s="6">
        <f aca="true" t="shared" si="64" ref="H569:K570">SUM(H514,H468,H422,H376,H330,H284,H238,H192,H146,H100,H54,H8)</f>
        <v>0</v>
      </c>
      <c r="I569" s="6">
        <f t="shared" si="64"/>
        <v>716588.36</v>
      </c>
      <c r="J569" s="6">
        <f t="shared" si="64"/>
        <v>0</v>
      </c>
      <c r="K569" s="6">
        <f t="shared" si="64"/>
        <v>0</v>
      </c>
      <c r="L569" s="6"/>
      <c r="M569" s="6">
        <f>SUM(M514,M468,M422,M376,M330,M284,M238,M192,M146,M100,M54,M8)</f>
        <v>599705.2399999999</v>
      </c>
      <c r="N569" s="6">
        <f>SUM(C569:M569)</f>
        <v>48612263.26</v>
      </c>
      <c r="O569" s="332"/>
    </row>
    <row r="570" spans="2:15" ht="12.75" customHeight="1">
      <c r="B570" t="str">
        <f>B517</f>
        <v>Retail</v>
      </c>
      <c r="C570" s="6">
        <f t="shared" si="63"/>
        <v>695902.56</v>
      </c>
      <c r="D570" s="6">
        <f t="shared" si="63"/>
        <v>0</v>
      </c>
      <c r="E570" s="6">
        <f t="shared" si="63"/>
        <v>57607.93000000001</v>
      </c>
      <c r="F570" s="6">
        <f t="shared" si="63"/>
        <v>1341514.84</v>
      </c>
      <c r="G570" s="6"/>
      <c r="H570" s="6">
        <f t="shared" si="64"/>
        <v>0</v>
      </c>
      <c r="I570" s="6">
        <f t="shared" si="64"/>
        <v>577191.3300000001</v>
      </c>
      <c r="J570" s="6">
        <f t="shared" si="64"/>
        <v>0</v>
      </c>
      <c r="K570" s="6">
        <f t="shared" si="64"/>
        <v>0</v>
      </c>
      <c r="L570" s="6"/>
      <c r="M570" s="6">
        <f>SUM(M515,M469,M423,M377,M331,M285,M239,M193,M147,M101,M55,M9)</f>
        <v>6595.179999999999</v>
      </c>
      <c r="N570" s="6">
        <f>SUM(C570:M570)</f>
        <v>2678811.8400000003</v>
      </c>
      <c r="O570" s="332">
        <f>SUM(N569:N570)</f>
        <v>51291075.1</v>
      </c>
    </row>
    <row r="571" spans="3:15" ht="12.75" customHeight="1"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O571" s="332"/>
    </row>
    <row r="572" spans="1:15" ht="12.75" customHeight="1">
      <c r="A572" t="s">
        <v>11</v>
      </c>
      <c r="B572" t="str">
        <f>B566</f>
        <v>Wholesale</v>
      </c>
      <c r="C572" s="6">
        <f aca="true" t="shared" si="65" ref="C572:F573">C516+C470+C424+C378+C332+C286+C240+C194+C148+C102+C56+C10</f>
        <v>12968113.379999999</v>
      </c>
      <c r="D572" s="6">
        <f t="shared" si="65"/>
        <v>570546.3099999999</v>
      </c>
      <c r="E572" s="6">
        <f t="shared" si="65"/>
        <v>90235.89</v>
      </c>
      <c r="F572" s="6">
        <f t="shared" si="65"/>
        <v>35440721.45999999</v>
      </c>
      <c r="G572" s="6"/>
      <c r="H572" s="6">
        <f aca="true" t="shared" si="66" ref="H572:K573">H516+H470+H424+H378+H332+H286+H240+H194+H148+H102+H56+H10</f>
        <v>0</v>
      </c>
      <c r="I572" s="6">
        <f t="shared" si="66"/>
        <v>214742.91</v>
      </c>
      <c r="J572" s="6">
        <f t="shared" si="66"/>
        <v>0</v>
      </c>
      <c r="K572" s="6">
        <f t="shared" si="66"/>
        <v>0</v>
      </c>
      <c r="L572" s="6"/>
      <c r="M572" s="6">
        <f>M516+M470+M424+M378+M332+M286+M240+M194+M148+M102+M56+M10</f>
        <v>457968.14</v>
      </c>
      <c r="N572" s="6">
        <f>SUM(C572:M572)</f>
        <v>49742328.08999999</v>
      </c>
      <c r="O572" s="332"/>
    </row>
    <row r="573" spans="2:15" ht="12.75" customHeight="1">
      <c r="B573" t="str">
        <f>B567</f>
        <v>Retail</v>
      </c>
      <c r="C573" s="6">
        <f t="shared" si="65"/>
        <v>682369.9299999999</v>
      </c>
      <c r="D573" s="6">
        <f t="shared" si="65"/>
        <v>265563.99</v>
      </c>
      <c r="E573" s="6">
        <f t="shared" si="65"/>
        <v>65668.37</v>
      </c>
      <c r="F573" s="6">
        <f t="shared" si="65"/>
        <v>1676091.7000000002</v>
      </c>
      <c r="G573" s="6"/>
      <c r="H573" s="6">
        <f t="shared" si="66"/>
        <v>0</v>
      </c>
      <c r="I573" s="6">
        <f t="shared" si="66"/>
        <v>1178398.22</v>
      </c>
      <c r="J573" s="6">
        <f t="shared" si="66"/>
        <v>0</v>
      </c>
      <c r="K573" s="6">
        <f t="shared" si="66"/>
        <v>0</v>
      </c>
      <c r="L573" s="6"/>
      <c r="M573" s="6">
        <f>M517+M471+M425+M379+M333+M287+M241+M195+M149+M103+M57+M11</f>
        <v>62124.00000000001</v>
      </c>
      <c r="N573" s="6">
        <f>SUM(C573:M573)</f>
        <v>3930216.21</v>
      </c>
      <c r="O573" s="332">
        <f>SUM(N572:N573)</f>
        <v>53672544.29999999</v>
      </c>
    </row>
    <row r="574" spans="3:15" ht="12.75" customHeight="1"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O574" s="332"/>
    </row>
    <row r="575" spans="1:15" ht="12.75" customHeight="1">
      <c r="A575" t="s">
        <v>14</v>
      </c>
      <c r="B575" t="str">
        <f>B569</f>
        <v>Wholesale</v>
      </c>
      <c r="C575" s="6">
        <f aca="true" t="shared" si="67" ref="C575:F576">C12+C58+C104+C150+C196+C242+C288+C334+C380+C426+C472+C518</f>
        <v>8786712.45</v>
      </c>
      <c r="D575" s="6">
        <f t="shared" si="67"/>
        <v>651217.4500000001</v>
      </c>
      <c r="E575" s="6">
        <f t="shared" si="67"/>
        <v>636.51</v>
      </c>
      <c r="F575" s="6">
        <f t="shared" si="67"/>
        <v>28479279.950000003</v>
      </c>
      <c r="G575" s="6"/>
      <c r="H575" s="6">
        <f aca="true" t="shared" si="68" ref="H575:K576">H12+H58+H104+H150+H196+H242+H288+H334+H380+H426+H472+H518</f>
        <v>0</v>
      </c>
      <c r="I575" s="6">
        <f t="shared" si="68"/>
        <v>1327148.6800000002</v>
      </c>
      <c r="J575" s="6">
        <f t="shared" si="68"/>
        <v>0</v>
      </c>
      <c r="K575" s="6">
        <f t="shared" si="68"/>
        <v>0</v>
      </c>
      <c r="L575" s="6"/>
      <c r="M575" s="6">
        <f>M12+M58+M104+M150+M196+M242+M288+M334+M380+M426+M472+M518</f>
        <v>205779.19</v>
      </c>
      <c r="N575" s="6">
        <f>SUM(C575:M575)</f>
        <v>39450774.23</v>
      </c>
      <c r="O575" s="332"/>
    </row>
    <row r="576" spans="2:15" ht="12.75" customHeight="1">
      <c r="B576" t="str">
        <f>B570</f>
        <v>Retail</v>
      </c>
      <c r="C576" s="6">
        <f t="shared" si="67"/>
        <v>615152.65</v>
      </c>
      <c r="D576" s="6">
        <f t="shared" si="67"/>
        <v>1095174.0699999998</v>
      </c>
      <c r="E576" s="6">
        <f t="shared" si="67"/>
        <v>179427.04</v>
      </c>
      <c r="F576" s="6">
        <f t="shared" si="67"/>
        <v>1237603.66</v>
      </c>
      <c r="G576" s="6"/>
      <c r="H576" s="6">
        <f t="shared" si="68"/>
        <v>52496.810000000005</v>
      </c>
      <c r="I576" s="6">
        <f t="shared" si="68"/>
        <v>1328918.4700000002</v>
      </c>
      <c r="J576" s="6">
        <f t="shared" si="68"/>
        <v>0</v>
      </c>
      <c r="K576" s="6">
        <f t="shared" si="68"/>
        <v>0</v>
      </c>
      <c r="L576" s="6"/>
      <c r="M576" s="6">
        <f>M13+M59+M105+M151+M197+M243+M289+M335+M381+M427+M473+M519</f>
        <v>141366.23</v>
      </c>
      <c r="N576" s="6">
        <f>SUM(C576:M576)</f>
        <v>4650138.930000001</v>
      </c>
      <c r="O576" s="332">
        <f>SUM(N575:N576)</f>
        <v>44100913.16</v>
      </c>
    </row>
    <row r="577" ht="12.75" customHeight="1">
      <c r="O577" s="332"/>
    </row>
    <row r="578" spans="1:15" ht="12.75" customHeight="1">
      <c r="A578" t="s">
        <v>16</v>
      </c>
      <c r="B578" t="str">
        <f>B572</f>
        <v>Wholesale</v>
      </c>
      <c r="C578" s="6">
        <f aca="true" t="shared" si="69" ref="C578:F579">C14+C60+C106+C152+C198+C244+C290+C336+C382+C428+C474+C520</f>
        <v>8782123.12</v>
      </c>
      <c r="D578" s="6">
        <f t="shared" si="69"/>
        <v>1122046.9200000002</v>
      </c>
      <c r="E578" s="6">
        <f t="shared" si="69"/>
        <v>0</v>
      </c>
      <c r="F578" s="6">
        <f t="shared" si="69"/>
        <v>31105060.029999997</v>
      </c>
      <c r="G578" s="6"/>
      <c r="H578" s="6">
        <f aca="true" t="shared" si="70" ref="H578:K579">H14+H60+H106+H152+H198+H244+H290+H336+H382+H428+H474+H520</f>
        <v>0</v>
      </c>
      <c r="I578" s="6">
        <f t="shared" si="70"/>
        <v>295826.6</v>
      </c>
      <c r="J578" s="6">
        <f t="shared" si="70"/>
        <v>0</v>
      </c>
      <c r="K578" s="6">
        <f t="shared" si="70"/>
        <v>0</v>
      </c>
      <c r="L578" s="6"/>
      <c r="M578" s="6">
        <f>M14+M60+M106+M152+M198+M244+M290+M336+M382+M428+M474+M520</f>
        <v>349178.83</v>
      </c>
      <c r="N578" s="6">
        <f>SUM(C578:M578)</f>
        <v>41654235.49999999</v>
      </c>
      <c r="O578" s="332"/>
    </row>
    <row r="579" spans="2:15" ht="12.75" customHeight="1">
      <c r="B579" t="str">
        <f>B573</f>
        <v>Retail</v>
      </c>
      <c r="C579" s="6">
        <f t="shared" si="69"/>
        <v>1887728.2300000002</v>
      </c>
      <c r="D579" s="6">
        <f t="shared" si="69"/>
        <v>1412344.69</v>
      </c>
      <c r="E579" s="6">
        <f t="shared" si="69"/>
        <v>772839.2</v>
      </c>
      <c r="F579" s="6">
        <f t="shared" si="69"/>
        <v>1611241.11</v>
      </c>
      <c r="G579" s="6"/>
      <c r="H579" s="6">
        <f t="shared" si="70"/>
        <v>136714.97</v>
      </c>
      <c r="I579" s="6">
        <f t="shared" si="70"/>
        <v>1872514.42</v>
      </c>
      <c r="J579" s="6">
        <f t="shared" si="70"/>
        <v>0</v>
      </c>
      <c r="K579" s="6">
        <f t="shared" si="70"/>
        <v>0</v>
      </c>
      <c r="L579" s="6"/>
      <c r="M579" s="6">
        <f>M15+M61+M107+M153+M199+M245+M291+M337+M383+M429+M475+M521</f>
        <v>159785.22000000003</v>
      </c>
      <c r="N579" s="6">
        <f>SUM(C579:M579)</f>
        <v>7853167.84</v>
      </c>
      <c r="O579" s="332">
        <f>SUM(N578:N579)</f>
        <v>49507403.33999999</v>
      </c>
    </row>
    <row r="580" ht="12.75" customHeight="1">
      <c r="O580" s="332"/>
    </row>
    <row r="581" spans="1:15" ht="12.75" customHeight="1">
      <c r="A581" t="s">
        <v>23</v>
      </c>
      <c r="B581" t="str">
        <f>B575</f>
        <v>Wholesale</v>
      </c>
      <c r="C581" s="6">
        <f aca="true" t="shared" si="71" ref="C581:F582">SUM(C522+C476+C430+C384+C338+C292+C246+C200+C154+C108+C62+C16)</f>
        <v>11405513.64</v>
      </c>
      <c r="D581" s="6">
        <f t="shared" si="71"/>
        <v>1122043.2</v>
      </c>
      <c r="E581" s="6">
        <f t="shared" si="71"/>
        <v>0</v>
      </c>
      <c r="F581" s="6">
        <f t="shared" si="71"/>
        <v>33636334.24000001</v>
      </c>
      <c r="G581" s="6"/>
      <c r="H581" s="6">
        <f aca="true" t="shared" si="72" ref="H581:M582">SUM(H522+H476+H430+H384+H338+H292+H246+H200+H154+H108+H62+H16)</f>
        <v>0</v>
      </c>
      <c r="I581" s="6">
        <f t="shared" si="72"/>
        <v>1274956.55</v>
      </c>
      <c r="J581" s="6">
        <f t="shared" si="72"/>
        <v>0</v>
      </c>
      <c r="K581" s="6">
        <f t="shared" si="72"/>
        <v>0</v>
      </c>
      <c r="L581" s="6">
        <f t="shared" si="72"/>
        <v>0</v>
      </c>
      <c r="M581" s="6">
        <f t="shared" si="72"/>
        <v>655130.1900000001</v>
      </c>
      <c r="N581" s="6">
        <f>SUM(C581:M581)</f>
        <v>48093977.82000001</v>
      </c>
      <c r="O581" s="332"/>
    </row>
    <row r="582" spans="2:15" ht="12.75" customHeight="1">
      <c r="B582" t="str">
        <f>B576</f>
        <v>Retail</v>
      </c>
      <c r="C582" s="6">
        <f t="shared" si="71"/>
        <v>3640820.3499999996</v>
      </c>
      <c r="D582" s="6">
        <f t="shared" si="71"/>
        <v>2328659.48</v>
      </c>
      <c r="E582" s="6">
        <f t="shared" si="71"/>
        <v>1246196.47</v>
      </c>
      <c r="F582" s="6">
        <f t="shared" si="71"/>
        <v>2831512.02</v>
      </c>
      <c r="G582" s="6"/>
      <c r="H582" s="6">
        <f t="shared" si="72"/>
        <v>654309.61</v>
      </c>
      <c r="I582" s="6">
        <f t="shared" si="72"/>
        <v>2912452.1300000004</v>
      </c>
      <c r="J582" s="6">
        <f t="shared" si="72"/>
        <v>0</v>
      </c>
      <c r="K582" s="6">
        <f t="shared" si="72"/>
        <v>0</v>
      </c>
      <c r="L582" s="6">
        <f t="shared" si="72"/>
        <v>319574</v>
      </c>
      <c r="M582" s="6">
        <f t="shared" si="72"/>
        <v>106087.62</v>
      </c>
      <c r="N582" s="6">
        <f>SUM(C582:M582)</f>
        <v>14039611.68</v>
      </c>
      <c r="O582" s="332">
        <f>SUM(N581:N582)</f>
        <v>62133589.50000001</v>
      </c>
    </row>
    <row r="583" spans="3:15" ht="12.75" customHeight="1"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332"/>
    </row>
    <row r="584" spans="1:15" ht="12.75" customHeight="1">
      <c r="A584" t="s">
        <v>33</v>
      </c>
      <c r="B584" t="str">
        <f>B578</f>
        <v>Wholesale</v>
      </c>
      <c r="C584" s="6">
        <f aca="true" t="shared" si="73" ref="C584:M584">SUM(C524+C478+C432+C386+C340+C294+C248+C202+C156+C110+C64+C18)</f>
        <v>10034544.2</v>
      </c>
      <c r="D584" s="6">
        <f t="shared" si="73"/>
        <v>1201854.1</v>
      </c>
      <c r="E584" s="6">
        <f t="shared" si="73"/>
        <v>0</v>
      </c>
      <c r="F584" s="6">
        <f t="shared" si="73"/>
        <v>32289460.68</v>
      </c>
      <c r="G584" s="6">
        <f t="shared" si="73"/>
        <v>10927.19</v>
      </c>
      <c r="H584" s="6">
        <f t="shared" si="73"/>
        <v>0</v>
      </c>
      <c r="I584" s="6">
        <f t="shared" si="73"/>
        <v>1278777.94</v>
      </c>
      <c r="J584" s="6">
        <f t="shared" si="73"/>
        <v>0</v>
      </c>
      <c r="K584" s="6">
        <f t="shared" si="73"/>
        <v>0</v>
      </c>
      <c r="L584" s="6">
        <f t="shared" si="73"/>
        <v>0</v>
      </c>
      <c r="M584" s="6">
        <f t="shared" si="73"/>
        <v>475079.26999999996</v>
      </c>
      <c r="N584" s="6">
        <f>SUM(C584:M584)</f>
        <v>45290643.379999995</v>
      </c>
      <c r="O584" s="332"/>
    </row>
    <row r="585" spans="2:15" ht="12.75" customHeight="1">
      <c r="B585" t="str">
        <f>B579</f>
        <v>Retail</v>
      </c>
      <c r="C585" s="6">
        <f aca="true" t="shared" si="74" ref="C585:M585">SUM(C525+C479+C433+C387+C341+C295+C249+C203+C157+C111+C65+C19)</f>
        <v>4477637.48</v>
      </c>
      <c r="D585" s="6">
        <f t="shared" si="74"/>
        <v>1427883.81</v>
      </c>
      <c r="E585" s="6">
        <f t="shared" si="74"/>
        <v>653984.23</v>
      </c>
      <c r="F585" s="6">
        <f t="shared" si="74"/>
        <v>1994462.3999999997</v>
      </c>
      <c r="G585" s="6">
        <f t="shared" si="74"/>
        <v>310084.8900000001</v>
      </c>
      <c r="H585" s="6">
        <f t="shared" si="74"/>
        <v>1215657.11</v>
      </c>
      <c r="I585" s="6">
        <f t="shared" si="74"/>
        <v>1717952.73</v>
      </c>
      <c r="J585" s="6">
        <f t="shared" si="74"/>
        <v>0</v>
      </c>
      <c r="K585" s="6">
        <f t="shared" si="74"/>
        <v>0</v>
      </c>
      <c r="L585" s="6">
        <f t="shared" si="74"/>
        <v>344882</v>
      </c>
      <c r="M585" s="6">
        <f t="shared" si="74"/>
        <v>124407.96999999999</v>
      </c>
      <c r="N585" s="6">
        <f>SUM(C585:M585)</f>
        <v>12266952.620000003</v>
      </c>
      <c r="O585" s="332">
        <f>SUM(N584:N585)</f>
        <v>57557596</v>
      </c>
    </row>
    <row r="586" spans="3:15" ht="12.75" customHeight="1"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332"/>
    </row>
    <row r="587" spans="1:15" ht="12.75" customHeight="1">
      <c r="A587" t="s">
        <v>36</v>
      </c>
      <c r="B587" t="str">
        <f>B581</f>
        <v>Wholesale</v>
      </c>
      <c r="C587" s="6">
        <f aca="true" t="shared" si="75" ref="C587:M587">SUM(C20+C66+C112+C158+C204+C250+C296+C342+C388+C434+C480+C526)</f>
        <v>10368493.46</v>
      </c>
      <c r="D587" s="6">
        <f t="shared" si="75"/>
        <v>38682.399999999994</v>
      </c>
      <c r="E587" s="6">
        <f t="shared" si="75"/>
        <v>0</v>
      </c>
      <c r="F587" s="6">
        <f t="shared" si="75"/>
        <v>27613873.47</v>
      </c>
      <c r="G587" s="6">
        <f t="shared" si="75"/>
        <v>5934.039999999999</v>
      </c>
      <c r="H587" s="6">
        <f t="shared" si="75"/>
        <v>0</v>
      </c>
      <c r="I587" s="6">
        <f t="shared" si="75"/>
        <v>660285.8400000001</v>
      </c>
      <c r="J587" s="6">
        <f t="shared" si="75"/>
        <v>0</v>
      </c>
      <c r="K587" s="6">
        <f t="shared" si="75"/>
        <v>0</v>
      </c>
      <c r="L587" s="6">
        <f t="shared" si="75"/>
        <v>0</v>
      </c>
      <c r="M587" s="6">
        <f t="shared" si="75"/>
        <v>556125.9</v>
      </c>
      <c r="N587" s="6">
        <f>SUM(C587:M587)</f>
        <v>39243395.11</v>
      </c>
      <c r="O587" s="332"/>
    </row>
    <row r="588" spans="2:15" ht="12.75" customHeight="1">
      <c r="B588" t="str">
        <f>B582</f>
        <v>Retail</v>
      </c>
      <c r="C588" s="6">
        <f aca="true" t="shared" si="76" ref="C588:M588">SUM(C21+C67+C113+C159+C205+C251+C297+C343+C389+C435+C481+C527)</f>
        <v>6060242.119999999</v>
      </c>
      <c r="D588" s="6">
        <f t="shared" si="76"/>
        <v>3217067.159999999</v>
      </c>
      <c r="E588" s="6">
        <f t="shared" si="76"/>
        <v>1413857.2399999998</v>
      </c>
      <c r="F588" s="6">
        <f t="shared" si="76"/>
        <v>2403915.26</v>
      </c>
      <c r="G588" s="6">
        <f t="shared" si="76"/>
        <v>1190654.46</v>
      </c>
      <c r="H588" s="6">
        <f t="shared" si="76"/>
        <v>1691130.2100000004</v>
      </c>
      <c r="I588" s="6">
        <f t="shared" si="76"/>
        <v>1777749.77</v>
      </c>
      <c r="J588" s="6">
        <f t="shared" si="76"/>
        <v>0</v>
      </c>
      <c r="K588" s="6">
        <f t="shared" si="76"/>
        <v>0</v>
      </c>
      <c r="L588" s="6">
        <f t="shared" si="76"/>
        <v>14902</v>
      </c>
      <c r="M588" s="6">
        <f t="shared" si="76"/>
        <v>104777.29400000001</v>
      </c>
      <c r="N588" s="6">
        <f>SUM(C588:M588)</f>
        <v>17874295.514</v>
      </c>
      <c r="O588" s="332">
        <f>SUM(N587:N588)</f>
        <v>57117690.624</v>
      </c>
    </row>
    <row r="589" spans="3:15" ht="12.75" customHeight="1"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332"/>
    </row>
    <row r="590" spans="1:15" ht="12.75" customHeight="1">
      <c r="A590" t="s">
        <v>50</v>
      </c>
      <c r="B590" t="str">
        <f>B584</f>
        <v>Wholesale</v>
      </c>
      <c r="C590" s="6">
        <f aca="true" t="shared" si="77" ref="C590:N590">SUM(C22,C68,C114,C160,C206,C252,C298,C344,C390,C436,C482,C528)</f>
        <v>10730394.85</v>
      </c>
      <c r="D590" s="6">
        <f t="shared" si="77"/>
        <v>1248846.54</v>
      </c>
      <c r="E590" s="6">
        <f t="shared" si="77"/>
        <v>0</v>
      </c>
      <c r="F590" s="6">
        <f t="shared" si="77"/>
        <v>30401295.66</v>
      </c>
      <c r="G590" s="6">
        <f t="shared" si="77"/>
        <v>13950.6</v>
      </c>
      <c r="H590" s="6">
        <f t="shared" si="77"/>
        <v>0</v>
      </c>
      <c r="I590" s="6">
        <f t="shared" si="77"/>
        <v>803441.87</v>
      </c>
      <c r="J590" s="6">
        <f t="shared" si="77"/>
        <v>0</v>
      </c>
      <c r="K590" s="6">
        <f t="shared" si="77"/>
        <v>0</v>
      </c>
      <c r="L590" s="6">
        <f t="shared" si="77"/>
        <v>0</v>
      </c>
      <c r="M590" s="6">
        <f t="shared" si="77"/>
        <v>427408.48</v>
      </c>
      <c r="N590" s="6">
        <f t="shared" si="77"/>
        <v>43625338</v>
      </c>
      <c r="O590" s="332"/>
    </row>
    <row r="591" spans="2:15" ht="12.75" customHeight="1">
      <c r="B591" t="str">
        <f>B585</f>
        <v>Retail</v>
      </c>
      <c r="C591" s="6">
        <f aca="true" t="shared" si="78" ref="C591:N591">SUM(C23,C69,C115,C161,C207,C253,C299,C345,C391,C437,C483,C529)</f>
        <v>8796789.94</v>
      </c>
      <c r="D591" s="6">
        <f t="shared" si="78"/>
        <v>2590304.54</v>
      </c>
      <c r="E591" s="6">
        <f t="shared" si="78"/>
        <v>1521009.65</v>
      </c>
      <c r="F591" s="6">
        <f t="shared" si="78"/>
        <v>2159069.01</v>
      </c>
      <c r="G591" s="6">
        <f t="shared" si="78"/>
        <v>1280722.9099999997</v>
      </c>
      <c r="H591" s="6">
        <f t="shared" si="78"/>
        <v>2342573.26</v>
      </c>
      <c r="I591" s="6">
        <f t="shared" si="78"/>
        <v>1643714.29</v>
      </c>
      <c r="J591" s="6">
        <f t="shared" si="78"/>
        <v>0</v>
      </c>
      <c r="K591" s="6">
        <f t="shared" si="78"/>
        <v>0</v>
      </c>
      <c r="L591" s="6">
        <f t="shared" si="78"/>
        <v>0</v>
      </c>
      <c r="M591" s="6">
        <f t="shared" si="78"/>
        <v>83530.86</v>
      </c>
      <c r="N591" s="6">
        <f t="shared" si="78"/>
        <v>20417714.459999997</v>
      </c>
      <c r="O591" s="332">
        <f>SUM(N590:N591)</f>
        <v>64043052.45999999</v>
      </c>
    </row>
    <row r="592" spans="3:15" ht="12.75" customHeight="1"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332"/>
    </row>
    <row r="593" spans="1:15" ht="12.75" customHeight="1">
      <c r="A593" t="s">
        <v>65</v>
      </c>
      <c r="B593" t="s">
        <v>7</v>
      </c>
      <c r="C593" s="6">
        <f aca="true" t="shared" si="79" ref="C593:N593">SUM(C24,C70,C116,C162,C208,C254,C300,C346,C392,C438,C484,C530)</f>
        <v>10586322.550000003</v>
      </c>
      <c r="D593" s="6">
        <f t="shared" si="79"/>
        <v>24021.900000000005</v>
      </c>
      <c r="E593" s="6">
        <f t="shared" si="79"/>
        <v>0</v>
      </c>
      <c r="F593" s="6">
        <f t="shared" si="79"/>
        <v>24929482.23</v>
      </c>
      <c r="G593" s="6">
        <f t="shared" si="79"/>
        <v>214037.08</v>
      </c>
      <c r="H593" s="6">
        <f t="shared" si="79"/>
        <v>0</v>
      </c>
      <c r="I593" s="6">
        <f t="shared" si="79"/>
        <v>874144.64</v>
      </c>
      <c r="J593" s="6">
        <f t="shared" si="79"/>
        <v>0</v>
      </c>
      <c r="K593" s="6">
        <f t="shared" si="79"/>
        <v>0</v>
      </c>
      <c r="L593" s="6">
        <f t="shared" si="79"/>
        <v>0</v>
      </c>
      <c r="M593" s="6">
        <f t="shared" si="79"/>
        <v>120112.98</v>
      </c>
      <c r="N593" s="6">
        <f t="shared" si="79"/>
        <v>36748121.379999995</v>
      </c>
      <c r="O593" s="6"/>
    </row>
    <row r="594" spans="2:15" ht="12.75" customHeight="1">
      <c r="B594" t="s">
        <v>8</v>
      </c>
      <c r="C594" s="6">
        <f aca="true" t="shared" si="80" ref="C594:N594">SUM(C25,C71,C117,C163,C209,C255,C301,C347,C393,C439,C485,C531)</f>
        <v>10508677.200000001</v>
      </c>
      <c r="D594" s="6">
        <f t="shared" si="80"/>
        <v>3386019.66</v>
      </c>
      <c r="E594" s="6">
        <f t="shared" si="80"/>
        <v>2671680.42</v>
      </c>
      <c r="F594" s="6">
        <f t="shared" si="80"/>
        <v>1605913.0200000003</v>
      </c>
      <c r="G594" s="6">
        <f t="shared" si="80"/>
        <v>1357235.67</v>
      </c>
      <c r="H594" s="6">
        <f t="shared" si="80"/>
        <v>2927016.6100000003</v>
      </c>
      <c r="I594" s="6">
        <f t="shared" si="80"/>
        <v>1605639.0799999998</v>
      </c>
      <c r="J594" s="6">
        <f t="shared" si="80"/>
        <v>0</v>
      </c>
      <c r="K594" s="6">
        <f t="shared" si="80"/>
        <v>0</v>
      </c>
      <c r="L594" s="6">
        <f t="shared" si="80"/>
        <v>0</v>
      </c>
      <c r="M594" s="6">
        <f t="shared" si="80"/>
        <v>84394.95999999999</v>
      </c>
      <c r="N594" s="6">
        <f t="shared" si="80"/>
        <v>24146576.620000005</v>
      </c>
      <c r="O594" s="6">
        <f>SUM(N593:N594)</f>
        <v>60894698</v>
      </c>
    </row>
    <row r="595" spans="3:15" ht="12.75" customHeight="1"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2.75" customHeight="1">
      <c r="A596" t="s">
        <v>68</v>
      </c>
      <c r="B596" t="s">
        <v>7</v>
      </c>
      <c r="C596" s="6">
        <f aca="true" t="shared" si="81" ref="C596:M596">SUM(C26,C72,C118,C164,C210,C256,C302,C348,C394,C440,C486,C532)</f>
        <v>10391573.61</v>
      </c>
      <c r="D596" s="6">
        <f t="shared" si="81"/>
        <v>3621.4700000000003</v>
      </c>
      <c r="E596" s="6">
        <f t="shared" si="81"/>
        <v>0</v>
      </c>
      <c r="F596" s="6">
        <f t="shared" si="81"/>
        <v>6775791.9</v>
      </c>
      <c r="G596" s="6">
        <f t="shared" si="81"/>
        <v>731223.1300000001</v>
      </c>
      <c r="H596" s="6">
        <f t="shared" si="81"/>
        <v>0</v>
      </c>
      <c r="I596" s="6">
        <f t="shared" si="81"/>
        <v>361249.05</v>
      </c>
      <c r="J596" s="6">
        <f t="shared" si="81"/>
        <v>0</v>
      </c>
      <c r="K596" s="6">
        <f t="shared" si="81"/>
        <v>0</v>
      </c>
      <c r="L596" s="6">
        <f t="shared" si="81"/>
        <v>0</v>
      </c>
      <c r="M596" s="6">
        <f t="shared" si="81"/>
        <v>0</v>
      </c>
      <c r="N596" s="6">
        <f>SUM(C596:M596)</f>
        <v>18263459.16</v>
      </c>
      <c r="O596" s="6"/>
    </row>
    <row r="597" spans="2:15" ht="12.75" customHeight="1">
      <c r="B597" t="s">
        <v>8</v>
      </c>
      <c r="C597" s="6">
        <f aca="true" t="shared" si="82" ref="C597:M597">SUM(C27,C73,C119,C165,C211,C257,C303,C349,C395,C441,C487,C533)</f>
        <v>11714591.839999998</v>
      </c>
      <c r="D597" s="6">
        <f t="shared" si="82"/>
        <v>2290114.31</v>
      </c>
      <c r="E597" s="6">
        <f t="shared" si="82"/>
        <v>3346140.1500000004</v>
      </c>
      <c r="F597" s="6">
        <f t="shared" si="82"/>
        <v>1939581.35</v>
      </c>
      <c r="G597" s="6">
        <f t="shared" si="82"/>
        <v>1460427.7499999998</v>
      </c>
      <c r="H597" s="6">
        <f t="shared" si="82"/>
        <v>2930174.43</v>
      </c>
      <c r="I597" s="6">
        <f t="shared" si="82"/>
        <v>1660159.5099999998</v>
      </c>
      <c r="J597" s="6">
        <f t="shared" si="82"/>
        <v>0</v>
      </c>
      <c r="K597" s="6">
        <f t="shared" si="82"/>
        <v>46166.420000000006</v>
      </c>
      <c r="L597" s="6">
        <f t="shared" si="82"/>
        <v>0</v>
      </c>
      <c r="M597" s="6">
        <f t="shared" si="82"/>
        <v>0</v>
      </c>
      <c r="N597" s="6">
        <f>SUM(C597:M597)</f>
        <v>25387355.759999998</v>
      </c>
      <c r="O597" s="6">
        <f>SUM(N596:N597)</f>
        <v>43650814.92</v>
      </c>
    </row>
    <row r="598" spans="3:15" ht="12.75" customHeight="1"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2.75" customHeight="1">
      <c r="A599" t="s">
        <v>81</v>
      </c>
      <c r="B599" t="s">
        <v>7</v>
      </c>
      <c r="C599" s="6">
        <f aca="true" t="shared" si="83" ref="C599:M599">SUM(C28,C74,C120,C166,C212,C258,C304,C350,C396,C442,C488,C534)</f>
        <v>11598680.6</v>
      </c>
      <c r="D599" s="6">
        <f t="shared" si="83"/>
        <v>4290.159999999999</v>
      </c>
      <c r="E599" s="6">
        <f t="shared" si="83"/>
        <v>0</v>
      </c>
      <c r="F599" s="6">
        <f t="shared" si="83"/>
        <v>4140319.33</v>
      </c>
      <c r="G599" s="6">
        <f t="shared" si="83"/>
        <v>832678.66</v>
      </c>
      <c r="H599" s="6">
        <f t="shared" si="83"/>
        <v>0</v>
      </c>
      <c r="I599" s="6">
        <f t="shared" si="83"/>
        <v>360981.98</v>
      </c>
      <c r="J599" s="6">
        <f t="shared" si="83"/>
        <v>0</v>
      </c>
      <c r="K599" s="6">
        <f t="shared" si="83"/>
        <v>0</v>
      </c>
      <c r="L599" s="6">
        <f t="shared" si="83"/>
        <v>0</v>
      </c>
      <c r="M599" s="6">
        <f t="shared" si="83"/>
        <v>0</v>
      </c>
      <c r="N599" s="6">
        <f>SUM(C599:M599)</f>
        <v>16936950.73</v>
      </c>
      <c r="O599" s="6"/>
    </row>
    <row r="600" spans="2:15" ht="12.75" customHeight="1">
      <c r="B600" t="s">
        <v>8</v>
      </c>
      <c r="C600" s="6">
        <f aca="true" t="shared" si="84" ref="C600:M600">SUM(C29,C75,C121,C167,C213,C259,C305,C351,C397,C443,C489,C535)</f>
        <v>9549541.870000001</v>
      </c>
      <c r="D600" s="6">
        <f t="shared" si="84"/>
        <v>1387303.8900000001</v>
      </c>
      <c r="E600" s="6">
        <f t="shared" si="84"/>
        <v>2422404.24</v>
      </c>
      <c r="F600" s="6">
        <f t="shared" si="84"/>
        <v>1669133.96</v>
      </c>
      <c r="G600" s="6">
        <f t="shared" si="84"/>
        <v>1406654.77</v>
      </c>
      <c r="H600" s="6">
        <f t="shared" si="84"/>
        <v>1967096.72</v>
      </c>
      <c r="I600" s="6">
        <f t="shared" si="84"/>
        <v>1101677.63</v>
      </c>
      <c r="J600" s="6">
        <f t="shared" si="84"/>
        <v>0</v>
      </c>
      <c r="K600" s="6">
        <f t="shared" si="84"/>
        <v>18839.32</v>
      </c>
      <c r="L600" s="6">
        <f t="shared" si="84"/>
        <v>0</v>
      </c>
      <c r="M600" s="6">
        <f t="shared" si="84"/>
        <v>0</v>
      </c>
      <c r="N600" s="6">
        <f>SUM(C600:M600)</f>
        <v>19522652.4</v>
      </c>
      <c r="O600" s="6">
        <f>SUM(N599:N600)</f>
        <v>36459603.129999995</v>
      </c>
    </row>
    <row r="601" spans="3:15" ht="12.75" customHeight="1"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2.75" customHeight="1">
      <c r="A602" t="s">
        <v>96</v>
      </c>
      <c r="B602" t="s">
        <v>7</v>
      </c>
      <c r="C602" s="6">
        <f aca="true" t="shared" si="85" ref="C602:M602">SUM(C30+C76+C122+C168+C214+C260+C306+C352+C398+C444+C490+C536)</f>
        <v>14485474.110000001</v>
      </c>
      <c r="D602" s="6">
        <f t="shared" si="85"/>
        <v>3871.2999999999997</v>
      </c>
      <c r="E602" s="6">
        <f t="shared" si="85"/>
        <v>0</v>
      </c>
      <c r="F602" s="6">
        <f t="shared" si="85"/>
        <v>4267001.4799999995</v>
      </c>
      <c r="G602" s="6">
        <f t="shared" si="85"/>
        <v>986272.5399999999</v>
      </c>
      <c r="H602" s="6">
        <f t="shared" si="85"/>
        <v>0</v>
      </c>
      <c r="I602" s="6">
        <f t="shared" si="85"/>
        <v>348825.88</v>
      </c>
      <c r="J602" s="6">
        <f t="shared" si="85"/>
        <v>0</v>
      </c>
      <c r="K602" s="6">
        <f t="shared" si="85"/>
        <v>0</v>
      </c>
      <c r="L602" s="6">
        <f t="shared" si="85"/>
        <v>0</v>
      </c>
      <c r="M602" s="6">
        <f t="shared" si="85"/>
        <v>0</v>
      </c>
      <c r="N602" s="6">
        <f>SUM(C602:M602)</f>
        <v>20091445.31</v>
      </c>
      <c r="O602" s="6"/>
    </row>
    <row r="603" spans="2:15" ht="12.75" customHeight="1">
      <c r="B603" t="s">
        <v>8</v>
      </c>
      <c r="C603" s="6">
        <f aca="true" t="shared" si="86" ref="C603:M603">SUM(C31+C77+C123+C169+C215+C261+C307+C353+C399+C445+C491+C537)</f>
        <v>12212094.769999996</v>
      </c>
      <c r="D603" s="6">
        <f t="shared" si="86"/>
        <v>2080509.6999999997</v>
      </c>
      <c r="E603" s="6">
        <f t="shared" si="86"/>
        <v>2831097.7400000007</v>
      </c>
      <c r="F603" s="6">
        <f t="shared" si="86"/>
        <v>1843265.0099999998</v>
      </c>
      <c r="G603" s="6">
        <f t="shared" si="86"/>
        <v>1519479.56</v>
      </c>
      <c r="H603" s="6">
        <f t="shared" si="86"/>
        <v>2903013.72</v>
      </c>
      <c r="I603" s="6">
        <f t="shared" si="86"/>
        <v>1562839.6599999997</v>
      </c>
      <c r="J603" s="6">
        <f t="shared" si="86"/>
        <v>0</v>
      </c>
      <c r="K603" s="6">
        <f t="shared" si="86"/>
        <v>40758.24999999999</v>
      </c>
      <c r="L603" s="6">
        <f t="shared" si="86"/>
        <v>0</v>
      </c>
      <c r="M603" s="6">
        <f t="shared" si="86"/>
        <v>0</v>
      </c>
      <c r="N603" s="6">
        <f>SUM(C603:M603)</f>
        <v>24993058.409999996</v>
      </c>
      <c r="O603" s="6">
        <f>SUM(N602:N603)</f>
        <v>45084503.72</v>
      </c>
    </row>
    <row r="604" spans="3:15" ht="12.75" customHeight="1"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2.75" customHeight="1">
      <c r="A605" t="s">
        <v>109</v>
      </c>
      <c r="B605" t="s">
        <v>7</v>
      </c>
      <c r="C605" s="6">
        <f aca="true" t="shared" si="87" ref="C605:M605">SUM(C32+C78+C124+C170+C216+C262+C308+C354+C400+C446+C492+C538)</f>
        <v>15202741.610000001</v>
      </c>
      <c r="D605" s="6">
        <f t="shared" si="87"/>
        <v>0</v>
      </c>
      <c r="E605" s="6">
        <f t="shared" si="87"/>
        <v>0</v>
      </c>
      <c r="F605" s="6">
        <f t="shared" si="87"/>
        <v>4557189.840000001</v>
      </c>
      <c r="G605" s="6">
        <f t="shared" si="87"/>
        <v>263888.34</v>
      </c>
      <c r="H605" s="6">
        <f t="shared" si="87"/>
        <v>0</v>
      </c>
      <c r="I605" s="6">
        <f t="shared" si="87"/>
        <v>508930.61</v>
      </c>
      <c r="J605" s="6">
        <f t="shared" si="87"/>
        <v>0</v>
      </c>
      <c r="K605" s="6">
        <f t="shared" si="87"/>
        <v>0</v>
      </c>
      <c r="L605" s="6">
        <f t="shared" si="87"/>
        <v>0</v>
      </c>
      <c r="M605" s="6">
        <f t="shared" si="87"/>
        <v>0</v>
      </c>
      <c r="N605" s="6">
        <f>SUM(C605:M605)</f>
        <v>20532750.400000002</v>
      </c>
      <c r="O605" s="6"/>
    </row>
    <row r="606" spans="2:15" ht="12.75" customHeight="1">
      <c r="B606" t="s">
        <v>8</v>
      </c>
      <c r="C606" s="6">
        <f aca="true" t="shared" si="88" ref="C606:M606">SUM(C33+C79+C125+C171+C217+C263+C309+C355+C401+C447+C493+C539)</f>
        <v>15420939.68</v>
      </c>
      <c r="D606" s="6">
        <f t="shared" si="88"/>
        <v>2058972.74</v>
      </c>
      <c r="E606" s="6">
        <f t="shared" si="88"/>
        <v>3208388.54</v>
      </c>
      <c r="F606" s="6">
        <f t="shared" si="88"/>
        <v>2107367.39</v>
      </c>
      <c r="G606" s="6">
        <f t="shared" si="88"/>
        <v>1584728.1</v>
      </c>
      <c r="H606" s="6">
        <f t="shared" si="88"/>
        <v>3736813.39</v>
      </c>
      <c r="I606" s="6">
        <f t="shared" si="88"/>
        <v>2012238.0299999996</v>
      </c>
      <c r="J606" s="6">
        <f t="shared" si="88"/>
        <v>252822.5</v>
      </c>
      <c r="K606" s="6">
        <f t="shared" si="88"/>
        <v>65334.85</v>
      </c>
      <c r="L606" s="6">
        <f t="shared" si="88"/>
        <v>0</v>
      </c>
      <c r="M606" s="6">
        <f t="shared" si="88"/>
        <v>0</v>
      </c>
      <c r="N606" s="6">
        <f>SUM(C606:M606)</f>
        <v>30447605.220000003</v>
      </c>
      <c r="O606" s="6">
        <f>SUM(N605:N606)</f>
        <v>50980355.620000005</v>
      </c>
    </row>
    <row r="607" spans="3:15" ht="12.75" customHeight="1"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2.75" customHeight="1">
      <c r="A608" t="s">
        <v>112</v>
      </c>
      <c r="B608" t="s">
        <v>7</v>
      </c>
      <c r="C608" s="6">
        <f aca="true" t="shared" si="89" ref="C608:N608">SUM(C34+C80+C126+C172+C218+C264+C310+C356+C402+C448+C494+C540)</f>
        <v>16836168.5</v>
      </c>
      <c r="D608" s="6">
        <f t="shared" si="89"/>
        <v>0</v>
      </c>
      <c r="E608" s="6">
        <f t="shared" si="89"/>
        <v>0</v>
      </c>
      <c r="F608" s="6">
        <f t="shared" si="89"/>
        <v>2880961.89</v>
      </c>
      <c r="G608" s="6">
        <f t="shared" si="89"/>
        <v>574472.0800000001</v>
      </c>
      <c r="H608" s="6">
        <f t="shared" si="89"/>
        <v>0</v>
      </c>
      <c r="I608" s="6">
        <f t="shared" si="89"/>
        <v>440908.64</v>
      </c>
      <c r="J608" s="6">
        <f t="shared" si="89"/>
        <v>0</v>
      </c>
      <c r="K608" s="6">
        <f t="shared" si="89"/>
        <v>0</v>
      </c>
      <c r="L608" s="6">
        <f t="shared" si="89"/>
        <v>0</v>
      </c>
      <c r="M608" s="6">
        <f t="shared" si="89"/>
        <v>0</v>
      </c>
      <c r="N608" s="6">
        <f t="shared" si="89"/>
        <v>20732511.110000003</v>
      </c>
      <c r="O608" s="6"/>
    </row>
    <row r="609" spans="2:15" ht="12.75" customHeight="1">
      <c r="B609" t="s">
        <v>8</v>
      </c>
      <c r="C609" s="6">
        <f aca="true" t="shared" si="90" ref="C609:N609">SUM(C35+C81+C127+C173+C219+C265+C311+C357+C403+C449+C495+C541)</f>
        <v>16478950.27</v>
      </c>
      <c r="D609" s="6">
        <f t="shared" si="90"/>
        <v>2436588.12</v>
      </c>
      <c r="E609" s="6">
        <f t="shared" si="90"/>
        <v>3731388.7699999996</v>
      </c>
      <c r="F609" s="6">
        <f t="shared" si="90"/>
        <v>2786028.53</v>
      </c>
      <c r="G609" s="6">
        <f t="shared" si="90"/>
        <v>1730351.5</v>
      </c>
      <c r="H609" s="6">
        <f t="shared" si="90"/>
        <v>3696818.99</v>
      </c>
      <c r="I609" s="6">
        <f t="shared" si="90"/>
        <v>2396838.2199999997</v>
      </c>
      <c r="J609" s="6">
        <f t="shared" si="90"/>
        <v>1014016.2699999999</v>
      </c>
      <c r="K609" s="6">
        <f t="shared" si="90"/>
        <v>56938.579999999994</v>
      </c>
      <c r="L609" s="6">
        <f t="shared" si="90"/>
        <v>0</v>
      </c>
      <c r="M609" s="6">
        <f t="shared" si="90"/>
        <v>0</v>
      </c>
      <c r="N609" s="6">
        <f t="shared" si="90"/>
        <v>34327919.25</v>
      </c>
      <c r="O609" s="6">
        <f>SUM(N608:N609)</f>
        <v>55060430.36</v>
      </c>
    </row>
    <row r="610" spans="3:15" ht="12.75" customHeight="1"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2.75" customHeight="1">
      <c r="A611" t="s">
        <v>115</v>
      </c>
      <c r="B611" t="s">
        <v>7</v>
      </c>
      <c r="C611" s="6">
        <f aca="true" t="shared" si="91" ref="C611:N611">SUM(C36+C82+C128+C174+C220+C266+C312+C358+C404+C450+C496+C542)</f>
        <v>12219016.52</v>
      </c>
      <c r="D611" s="6">
        <f t="shared" si="91"/>
        <v>0</v>
      </c>
      <c r="E611" s="6">
        <f t="shared" si="91"/>
        <v>0</v>
      </c>
      <c r="F611" s="6">
        <f t="shared" si="91"/>
        <v>2130490.84</v>
      </c>
      <c r="G611" s="6">
        <f t="shared" si="91"/>
        <v>577918.94</v>
      </c>
      <c r="H611" s="6">
        <f t="shared" si="91"/>
        <v>0</v>
      </c>
      <c r="I611" s="6">
        <f t="shared" si="91"/>
        <v>368779.1</v>
      </c>
      <c r="J611" s="6">
        <f t="shared" si="91"/>
        <v>0</v>
      </c>
      <c r="K611" s="6">
        <f t="shared" si="91"/>
        <v>0</v>
      </c>
      <c r="L611" s="6">
        <f t="shared" si="91"/>
        <v>0</v>
      </c>
      <c r="M611" s="6">
        <f t="shared" si="91"/>
        <v>0</v>
      </c>
      <c r="N611" s="6">
        <f t="shared" si="91"/>
        <v>15296205.4</v>
      </c>
      <c r="O611" s="6"/>
    </row>
    <row r="612" spans="2:15" ht="12.75" customHeight="1">
      <c r="B612" t="s">
        <v>8</v>
      </c>
      <c r="C612" s="6">
        <f aca="true" t="shared" si="92" ref="C612:N612">SUM(C37+C83+C129+C175+C221+C267+C313+C359+C405+C451+C497+C543)</f>
        <v>20052370.889999997</v>
      </c>
      <c r="D612" s="6">
        <f t="shared" si="92"/>
        <v>2584878.21</v>
      </c>
      <c r="E612" s="6">
        <f t="shared" si="92"/>
        <v>4191228.110000001</v>
      </c>
      <c r="F612" s="6">
        <f t="shared" si="92"/>
        <v>2940088.1700000004</v>
      </c>
      <c r="G612" s="6">
        <f t="shared" si="92"/>
        <v>1830895.7000000002</v>
      </c>
      <c r="H612" s="6">
        <f t="shared" si="92"/>
        <v>4126227.6199999996</v>
      </c>
      <c r="I612" s="6">
        <f t="shared" si="92"/>
        <v>2919438.22</v>
      </c>
      <c r="J612" s="6">
        <f t="shared" si="92"/>
        <v>1156851.5500000003</v>
      </c>
      <c r="K612" s="6">
        <f t="shared" si="92"/>
        <v>37340.66999999999</v>
      </c>
      <c r="L612" s="6">
        <f t="shared" si="92"/>
        <v>0</v>
      </c>
      <c r="M612" s="6">
        <f t="shared" si="92"/>
        <v>0</v>
      </c>
      <c r="N612" s="6">
        <f t="shared" si="92"/>
        <v>39839319.14</v>
      </c>
      <c r="O612" s="6">
        <f>SUM(N611:N612)</f>
        <v>55135524.54</v>
      </c>
    </row>
    <row r="613" spans="3:15" ht="12.75" customHeight="1"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2.75" customHeight="1">
      <c r="A614" t="s">
        <v>119</v>
      </c>
      <c r="B614" t="s">
        <v>7</v>
      </c>
      <c r="C614" s="6">
        <f aca="true" t="shared" si="93" ref="C614:N614">SUM(C38+C84+C130+C176+C222+C268+C314+C360+C406+C452+C498+C544)</f>
        <v>10636342.469999997</v>
      </c>
      <c r="D614" s="6">
        <f t="shared" si="93"/>
        <v>0</v>
      </c>
      <c r="E614" s="6">
        <f t="shared" si="93"/>
        <v>0</v>
      </c>
      <c r="F614" s="6">
        <f t="shared" si="93"/>
        <v>1301668.44</v>
      </c>
      <c r="G614" s="6">
        <f t="shared" si="93"/>
        <v>451509.1</v>
      </c>
      <c r="H614" s="6">
        <f t="shared" si="93"/>
        <v>0</v>
      </c>
      <c r="I614" s="6">
        <f t="shared" si="93"/>
        <v>349438.52</v>
      </c>
      <c r="J614" s="6">
        <f t="shared" si="93"/>
        <v>0</v>
      </c>
      <c r="K614" s="6">
        <f t="shared" si="93"/>
        <v>0</v>
      </c>
      <c r="L614" s="6">
        <f t="shared" si="93"/>
        <v>0</v>
      </c>
      <c r="M614" s="6">
        <f t="shared" si="93"/>
        <v>0</v>
      </c>
      <c r="N614" s="6">
        <f t="shared" si="93"/>
        <v>12738958.530000003</v>
      </c>
      <c r="O614" s="6"/>
    </row>
    <row r="615" spans="2:15" ht="12.75" customHeight="1">
      <c r="B615" t="s">
        <v>8</v>
      </c>
      <c r="C615" s="6">
        <f aca="true" t="shared" si="94" ref="C615:N615">SUM(C39+C85+C131+C177+C223+C269+C315+C361+C407+C453+C499+C545)</f>
        <v>22661422.690000005</v>
      </c>
      <c r="D615" s="6">
        <f t="shared" si="94"/>
        <v>2842316.4699999997</v>
      </c>
      <c r="E615" s="6">
        <f t="shared" si="94"/>
        <v>3726909.1800000006</v>
      </c>
      <c r="F615" s="6">
        <f t="shared" si="94"/>
        <v>3219911.71</v>
      </c>
      <c r="G615" s="6">
        <f t="shared" si="94"/>
        <v>2277111</v>
      </c>
      <c r="H615" s="6">
        <f t="shared" si="94"/>
        <v>5958368.3100000005</v>
      </c>
      <c r="I615" s="6">
        <f t="shared" si="94"/>
        <v>3123797.75</v>
      </c>
      <c r="J615" s="6">
        <f t="shared" si="94"/>
        <v>1651204.4099999995</v>
      </c>
      <c r="K615" s="6">
        <f t="shared" si="94"/>
        <v>48507.98</v>
      </c>
      <c r="L615" s="6">
        <f t="shared" si="94"/>
        <v>0</v>
      </c>
      <c r="M615" s="6">
        <f t="shared" si="94"/>
        <v>0</v>
      </c>
      <c r="N615" s="6">
        <f t="shared" si="94"/>
        <v>45509549.50000001</v>
      </c>
      <c r="O615" s="6">
        <f>SUM(N614:N615)</f>
        <v>58248508.03000001</v>
      </c>
    </row>
    <row r="616" spans="3:15" ht="12.75" customHeight="1"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2.75" customHeight="1">
      <c r="A617" t="s">
        <v>140</v>
      </c>
      <c r="B617" t="s">
        <v>7</v>
      </c>
      <c r="C617" s="6">
        <f aca="true" t="shared" si="95" ref="C617:N617">SUM(C40+C86+C132+C178+C224+C270+C316+C362+C408+C454+C500+C546)</f>
        <v>10501194.81999999</v>
      </c>
      <c r="D617" s="6">
        <f t="shared" si="95"/>
        <v>0</v>
      </c>
      <c r="E617" s="6">
        <f t="shared" si="95"/>
        <v>0</v>
      </c>
      <c r="F617" s="6">
        <f t="shared" si="95"/>
        <v>966044.6840000001</v>
      </c>
      <c r="G617" s="6">
        <f t="shared" si="95"/>
        <v>221357.52</v>
      </c>
      <c r="H617" s="6">
        <f t="shared" si="95"/>
        <v>0</v>
      </c>
      <c r="I617" s="6">
        <f t="shared" si="95"/>
        <v>230956.13999999998</v>
      </c>
      <c r="J617" s="6">
        <f t="shared" si="95"/>
        <v>0</v>
      </c>
      <c r="K617" s="6">
        <f t="shared" si="95"/>
        <v>0</v>
      </c>
      <c r="L617" s="6">
        <f t="shared" si="95"/>
        <v>0</v>
      </c>
      <c r="M617" s="6">
        <f t="shared" si="95"/>
        <v>0</v>
      </c>
      <c r="N617" s="6">
        <f t="shared" si="95"/>
        <v>11919553.16399999</v>
      </c>
      <c r="O617" s="6"/>
    </row>
    <row r="618" spans="2:15" ht="12.75" customHeight="1">
      <c r="B618" t="s">
        <v>8</v>
      </c>
      <c r="C618" s="6">
        <f aca="true" t="shared" si="96" ref="C618:N618">SUM(C41+C87+C133+C179+C225+C271+C317+C363+C409+C455+C501+C547)</f>
        <v>23909342.929999992</v>
      </c>
      <c r="D618" s="6">
        <f t="shared" si="96"/>
        <v>2774835.6800000006</v>
      </c>
      <c r="E618" s="6">
        <f t="shared" si="96"/>
        <v>3632759.87</v>
      </c>
      <c r="F618" s="6">
        <f t="shared" si="96"/>
        <v>2884191.19</v>
      </c>
      <c r="G618" s="6">
        <f t="shared" si="96"/>
        <v>2611571.4000000004</v>
      </c>
      <c r="H618" s="6">
        <f t="shared" si="96"/>
        <v>7626287.72</v>
      </c>
      <c r="I618" s="6">
        <f t="shared" si="96"/>
        <v>3207309.51</v>
      </c>
      <c r="J618" s="6">
        <f t="shared" si="96"/>
        <v>1700688.9000000001</v>
      </c>
      <c r="K618" s="6">
        <f t="shared" si="96"/>
        <v>47222.45999999999</v>
      </c>
      <c r="L618" s="6">
        <f t="shared" si="96"/>
        <v>0</v>
      </c>
      <c r="M618" s="6">
        <f t="shared" si="96"/>
        <v>0</v>
      </c>
      <c r="N618" s="6">
        <f t="shared" si="96"/>
        <v>48394209.65999999</v>
      </c>
      <c r="O618" s="6">
        <f>SUM(N617:N618)</f>
        <v>60313762.82399998</v>
      </c>
    </row>
    <row r="619" spans="3:15" ht="12.75" customHeight="1"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2.75" customHeight="1">
      <c r="A620" s="17" t="s">
        <v>154</v>
      </c>
      <c r="B620" t="s">
        <v>7</v>
      </c>
      <c r="C620" s="6">
        <f aca="true" t="shared" si="97" ref="C620:N620">C42+C88+C134+C180+C226+C272+C318+C364+C410+C456+C502+C548</f>
        <v>9303692.67999997</v>
      </c>
      <c r="D620" s="6">
        <f t="shared" si="97"/>
        <v>0</v>
      </c>
      <c r="E620" s="6">
        <f t="shared" si="97"/>
        <v>0</v>
      </c>
      <c r="F620" s="6">
        <f t="shared" si="97"/>
        <v>1251189.56</v>
      </c>
      <c r="G620" s="6">
        <f t="shared" si="97"/>
        <v>376887</v>
      </c>
      <c r="H620" s="6">
        <f t="shared" si="97"/>
        <v>0</v>
      </c>
      <c r="I620" s="6">
        <f t="shared" si="97"/>
        <v>52130.119999999995</v>
      </c>
      <c r="J620" s="6">
        <f t="shared" si="97"/>
        <v>0</v>
      </c>
      <c r="K620" s="6">
        <f t="shared" si="97"/>
        <v>0</v>
      </c>
      <c r="L620" s="6">
        <f t="shared" si="97"/>
        <v>0</v>
      </c>
      <c r="M620" s="6">
        <f t="shared" si="97"/>
        <v>0</v>
      </c>
      <c r="N620" s="6">
        <f t="shared" si="97"/>
        <v>10983899.359999973</v>
      </c>
      <c r="O620" s="6"/>
    </row>
    <row r="621" spans="2:15" ht="12.75" customHeight="1">
      <c r="B621" t="s">
        <v>8</v>
      </c>
      <c r="C621" s="6">
        <f aca="true" t="shared" si="98" ref="C621:N621">C43+C89+C135+C181+C227+C273+C319+C365+C411+C457+C503+C549</f>
        <v>26809738.309999987</v>
      </c>
      <c r="D621" s="6">
        <f t="shared" si="98"/>
        <v>3564606.4399999995</v>
      </c>
      <c r="E621" s="6">
        <f t="shared" si="98"/>
        <v>4892125.88</v>
      </c>
      <c r="F621" s="6">
        <f t="shared" si="98"/>
        <v>1993439.19</v>
      </c>
      <c r="G621" s="6">
        <f t="shared" si="98"/>
        <v>2000843.7599999998</v>
      </c>
      <c r="H621" s="6">
        <f t="shared" si="98"/>
        <v>7585955.150000001</v>
      </c>
      <c r="I621" s="6">
        <f t="shared" si="98"/>
        <v>4253552.87</v>
      </c>
      <c r="J621" s="6">
        <f t="shared" si="98"/>
        <v>1407120.4</v>
      </c>
      <c r="K621" s="6">
        <f t="shared" si="98"/>
        <v>48185.200000000004</v>
      </c>
      <c r="L621" s="6">
        <f t="shared" si="98"/>
        <v>0</v>
      </c>
      <c r="M621" s="6">
        <f t="shared" si="98"/>
        <v>0</v>
      </c>
      <c r="N621" s="6">
        <f t="shared" si="98"/>
        <v>52555567.19999999</v>
      </c>
      <c r="O621" s="6">
        <f>SUM(N620:N621)</f>
        <v>63539466.55999996</v>
      </c>
    </row>
    <row r="622" spans="3:15" ht="12.75" customHeight="1"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2.75" customHeight="1">
      <c r="A623" s="17" t="s">
        <v>167</v>
      </c>
      <c r="B623" t="s">
        <v>7</v>
      </c>
      <c r="C623" s="6">
        <f>C44+C90+C136+C182+C228+C274+C320+C366+C412+C458+C504+C550</f>
        <v>9422716.160000002</v>
      </c>
      <c r="D623" s="6">
        <f aca="true" t="shared" si="99" ref="D623:N623">D44+D90+D136+D182+D228+D274+D320+D366+D412+D458+D504+D550</f>
        <v>0</v>
      </c>
      <c r="E623" s="6">
        <f t="shared" si="99"/>
        <v>0</v>
      </c>
      <c r="F623" s="6">
        <f t="shared" si="99"/>
        <v>593009.1199999999</v>
      </c>
      <c r="G623" s="6">
        <f t="shared" si="99"/>
        <v>609341.83</v>
      </c>
      <c r="H623" s="6">
        <f t="shared" si="99"/>
        <v>0</v>
      </c>
      <c r="I623" s="6">
        <f t="shared" si="99"/>
        <v>485838.27999999997</v>
      </c>
      <c r="J623" s="6">
        <f t="shared" si="99"/>
        <v>0</v>
      </c>
      <c r="K623" s="6">
        <f t="shared" si="99"/>
        <v>0</v>
      </c>
      <c r="L623" s="6">
        <f t="shared" si="99"/>
        <v>0</v>
      </c>
      <c r="M623" s="6">
        <f t="shared" si="99"/>
        <v>0</v>
      </c>
      <c r="N623" s="6">
        <f t="shared" si="99"/>
        <v>11110905.39</v>
      </c>
      <c r="O623" s="6"/>
    </row>
    <row r="624" spans="2:15" ht="12.75" customHeight="1">
      <c r="B624" t="s">
        <v>8</v>
      </c>
      <c r="C624" s="6">
        <f>C45+C91+C137+C183+C229+C275+C321+C367+C413+C459+C505+C551</f>
        <v>28314897.649999995</v>
      </c>
      <c r="D624" s="6">
        <f aca="true" t="shared" si="100" ref="D624:N624">D45+D91+D137+D183+D229+D275+D321+D367+D413+D459+D505+D551</f>
        <v>3531999.3000000003</v>
      </c>
      <c r="E624" s="6">
        <f t="shared" si="100"/>
        <v>5497974.220000001</v>
      </c>
      <c r="F624" s="6">
        <f t="shared" si="100"/>
        <v>2828604.05</v>
      </c>
      <c r="G624" s="6">
        <f t="shared" si="100"/>
        <v>2046244.26</v>
      </c>
      <c r="H624" s="6">
        <f t="shared" si="100"/>
        <v>8347059.869999999</v>
      </c>
      <c r="I624" s="6">
        <f t="shared" si="100"/>
        <v>4260610.39</v>
      </c>
      <c r="J624" s="6">
        <f t="shared" si="100"/>
        <v>1171373.4800000002</v>
      </c>
      <c r="K624" s="6">
        <f t="shared" si="100"/>
        <v>56922.89000000001</v>
      </c>
      <c r="L624" s="6">
        <f t="shared" si="100"/>
        <v>0</v>
      </c>
      <c r="M624" s="6">
        <f t="shared" si="100"/>
        <v>0</v>
      </c>
      <c r="N624" s="6">
        <f t="shared" si="100"/>
        <v>56055686.11</v>
      </c>
      <c r="O624" s="6">
        <f>SUM(N623:N624)</f>
        <v>67166591.5</v>
      </c>
    </row>
    <row r="625" spans="3:15" ht="12.75" customHeight="1"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2.75" customHeight="1">
      <c r="A626" s="17" t="s">
        <v>181</v>
      </c>
      <c r="B626" t="s">
        <v>7</v>
      </c>
      <c r="C626" s="6">
        <f>C46+C92+C138+C184+C230+C276+C322+C368+C414+C460+C506+C552</f>
        <v>8229148.0399999935</v>
      </c>
      <c r="D626" s="6">
        <f aca="true" t="shared" si="101" ref="D626:N626">D46+D92+D138+D184+D230+D276+D322+D368+D414+D460+D506+D552</f>
        <v>0</v>
      </c>
      <c r="E626" s="6">
        <f t="shared" si="101"/>
        <v>0</v>
      </c>
      <c r="F626" s="6">
        <f t="shared" si="101"/>
        <v>462027.91000000003</v>
      </c>
      <c r="G626" s="6">
        <f t="shared" si="101"/>
        <v>491502.57999999996</v>
      </c>
      <c r="H626" s="6">
        <f t="shared" si="101"/>
        <v>0</v>
      </c>
      <c r="I626" s="6">
        <f t="shared" si="101"/>
        <v>12677.740000000002</v>
      </c>
      <c r="J626" s="6">
        <f t="shared" si="101"/>
        <v>0</v>
      </c>
      <c r="K626" s="6">
        <f t="shared" si="101"/>
        <v>0</v>
      </c>
      <c r="L626" s="6">
        <f t="shared" si="101"/>
        <v>0</v>
      </c>
      <c r="M626" s="6">
        <f t="shared" si="101"/>
        <v>0</v>
      </c>
      <c r="N626" s="6">
        <f t="shared" si="101"/>
        <v>9195356.269999994</v>
      </c>
      <c r="O626" s="6"/>
    </row>
    <row r="627" spans="2:15" ht="12.75" customHeight="1">
      <c r="B627" t="s">
        <v>8</v>
      </c>
      <c r="C627" s="6">
        <f aca="true" t="shared" si="102" ref="C627:N627">C47+C93+C139+C185+C231+C277+C323+C369+C415+C461+C507+C553</f>
        <v>29602852.139999956</v>
      </c>
      <c r="D627" s="6">
        <f t="shared" si="102"/>
        <v>4143632.1999999997</v>
      </c>
      <c r="E627" s="6">
        <f t="shared" si="102"/>
        <v>6399723.630000001</v>
      </c>
      <c r="F627" s="6">
        <f t="shared" si="102"/>
        <v>2699808.8700000006</v>
      </c>
      <c r="G627" s="6">
        <f t="shared" si="102"/>
        <v>2344381.5600000005</v>
      </c>
      <c r="H627" s="6">
        <f t="shared" si="102"/>
        <v>10339437.100000001</v>
      </c>
      <c r="I627" s="6">
        <f t="shared" si="102"/>
        <v>5243247.279999999</v>
      </c>
      <c r="J627" s="6">
        <f t="shared" si="102"/>
        <v>21364.86</v>
      </c>
      <c r="K627" s="6">
        <f t="shared" si="102"/>
        <v>37553.72</v>
      </c>
      <c r="L627" s="6">
        <f t="shared" si="102"/>
        <v>0</v>
      </c>
      <c r="M627" s="6">
        <f t="shared" si="102"/>
        <v>0</v>
      </c>
      <c r="N627" s="6">
        <f t="shared" si="102"/>
        <v>60832001.35999996</v>
      </c>
      <c r="O627" s="6">
        <f>SUM(N626:N627)</f>
        <v>70027357.62999995</v>
      </c>
    </row>
    <row r="628" spans="3:15" ht="12.75" customHeight="1"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2.75" customHeight="1">
      <c r="A629" s="17" t="s">
        <v>196</v>
      </c>
      <c r="B629" t="s">
        <v>7</v>
      </c>
      <c r="C629" s="6">
        <f>C48+C94+C140+C186+C232+C278+C324+C370+C416+C462+C508+C554</f>
        <v>437656.17000000016</v>
      </c>
      <c r="D629" s="6">
        <f aca="true" t="shared" si="103" ref="D629:N629">D48+D94+D140+D186+D232+D278+D324+D370+D416+D462+D508+D554</f>
        <v>0</v>
      </c>
      <c r="E629" s="6">
        <f t="shared" si="103"/>
        <v>0</v>
      </c>
      <c r="F629" s="6">
        <f t="shared" si="103"/>
        <v>34500.45</v>
      </c>
      <c r="G629" s="6">
        <f t="shared" si="103"/>
        <v>24776.79</v>
      </c>
      <c r="H629" s="6">
        <f t="shared" si="103"/>
        <v>0</v>
      </c>
      <c r="I629" s="6">
        <f t="shared" si="103"/>
        <v>176276.37999999998</v>
      </c>
      <c r="J629" s="6">
        <f t="shared" si="103"/>
        <v>0</v>
      </c>
      <c r="K629" s="6">
        <f t="shared" si="103"/>
        <v>0</v>
      </c>
      <c r="L629" s="6">
        <f t="shared" si="103"/>
        <v>0</v>
      </c>
      <c r="M629" s="6">
        <f t="shared" si="103"/>
        <v>0</v>
      </c>
      <c r="N629" s="6">
        <f t="shared" si="103"/>
        <v>673209.79</v>
      </c>
      <c r="O629" s="6"/>
    </row>
    <row r="630" spans="2:15" ht="12.75" customHeight="1">
      <c r="B630" t="s">
        <v>8</v>
      </c>
      <c r="C630" s="6">
        <f aca="true" t="shared" si="104" ref="C630:N630">C49+C95+C141+C187+C233+C279+C325+C371+C417+C463+C509+C555</f>
        <v>15781714.489999987</v>
      </c>
      <c r="D630" s="6">
        <f t="shared" si="104"/>
        <v>2922177.85</v>
      </c>
      <c r="E630" s="6">
        <f t="shared" si="104"/>
        <v>3045691.57</v>
      </c>
      <c r="F630" s="6">
        <f t="shared" si="104"/>
        <v>1173349.54</v>
      </c>
      <c r="G630" s="6">
        <f t="shared" si="104"/>
        <v>875971.5699999998</v>
      </c>
      <c r="H630" s="6">
        <f t="shared" si="104"/>
        <v>6338616.500999999</v>
      </c>
      <c r="I630" s="6">
        <f t="shared" si="104"/>
        <v>2422679.8999999994</v>
      </c>
      <c r="J630" s="6">
        <f t="shared" si="104"/>
        <v>0</v>
      </c>
      <c r="K630" s="6">
        <f t="shared" si="104"/>
        <v>17331.15</v>
      </c>
      <c r="L630" s="6">
        <f t="shared" si="104"/>
        <v>0</v>
      </c>
      <c r="M630" s="6">
        <f t="shared" si="104"/>
        <v>0</v>
      </c>
      <c r="N630" s="6">
        <f t="shared" si="104"/>
        <v>32577532.570999987</v>
      </c>
      <c r="O630" s="6">
        <f>SUM(N629:N630)</f>
        <v>33250742.360999987</v>
      </c>
    </row>
    <row r="631" spans="3:15" ht="12.75" customHeight="1"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2.75" customHeight="1">
      <c r="A632" s="17" t="s">
        <v>210</v>
      </c>
      <c r="B632" t="s">
        <v>7</v>
      </c>
      <c r="C632" s="6">
        <f>C50+C96+C142+C188+C234+C280+C326+C372+C418+C464+C510+C556</f>
        <v>0</v>
      </c>
      <c r="D632" s="6">
        <f aca="true" t="shared" si="105" ref="D632:M632">D50+D96+D142+D188+D234+D280+D326+D372+D418+D464+D510+D556</f>
        <v>0</v>
      </c>
      <c r="E632" s="6">
        <f t="shared" si="105"/>
        <v>0</v>
      </c>
      <c r="F632" s="6">
        <f t="shared" si="105"/>
        <v>1586.83</v>
      </c>
      <c r="G632" s="6">
        <f t="shared" si="105"/>
        <v>248.88</v>
      </c>
      <c r="H632" s="6">
        <f t="shared" si="105"/>
        <v>0</v>
      </c>
      <c r="I632" s="6">
        <f t="shared" si="105"/>
        <v>50.58</v>
      </c>
      <c r="J632" s="6">
        <f t="shared" si="105"/>
        <v>0</v>
      </c>
      <c r="K632" s="6">
        <f t="shared" si="105"/>
        <v>0</v>
      </c>
      <c r="L632" s="6">
        <f t="shared" si="105"/>
        <v>0</v>
      </c>
      <c r="M632" s="6">
        <f t="shared" si="105"/>
        <v>0</v>
      </c>
      <c r="N632" s="6">
        <f>N50+N96+N142+N188+N234+N280+N326+N372+N418+N464+N510+N556</f>
        <v>1886.29</v>
      </c>
      <c r="O632" s="6"/>
    </row>
    <row r="633" spans="2:15" ht="12.75" customHeight="1">
      <c r="B633" t="s">
        <v>8</v>
      </c>
      <c r="C633" s="6">
        <f aca="true" t="shared" si="106" ref="C633:M633">C51+C97+C143+C189+C235+C281+C327+C373+C419+C465+C511+C557</f>
        <v>2647769.02</v>
      </c>
      <c r="D633" s="6">
        <f t="shared" si="106"/>
        <v>606965.93</v>
      </c>
      <c r="E633" s="6">
        <f t="shared" si="106"/>
        <v>662865.22</v>
      </c>
      <c r="F633" s="6">
        <f t="shared" si="106"/>
        <v>413874.68</v>
      </c>
      <c r="G633" s="6">
        <f t="shared" si="106"/>
        <v>13877.939999999999</v>
      </c>
      <c r="H633" s="6">
        <f t="shared" si="106"/>
        <v>1032634.0800000001</v>
      </c>
      <c r="I633" s="6">
        <f t="shared" si="106"/>
        <v>498381.5</v>
      </c>
      <c r="J633" s="6">
        <f t="shared" si="106"/>
        <v>0</v>
      </c>
      <c r="K633" s="6">
        <f t="shared" si="106"/>
        <v>3931.17</v>
      </c>
      <c r="L633" s="6">
        <f t="shared" si="106"/>
        <v>0</v>
      </c>
      <c r="M633" s="6">
        <f t="shared" si="106"/>
        <v>0</v>
      </c>
      <c r="N633" s="6">
        <f>N51+N97+N143+N189+N235+N281+N327+N373+N419+N465+N511+N557</f>
        <v>5880299.540000001</v>
      </c>
      <c r="O633" s="6">
        <f>SUM(N632:N633)</f>
        <v>5882185.830000001</v>
      </c>
    </row>
    <row r="634" spans="3:15" ht="12.75" customHeight="1"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3:15" ht="12.75" customHeight="1"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s="243" customFormat="1" ht="12.75" customHeight="1" thickBot="1">
      <c r="A636" s="243" t="s">
        <v>24</v>
      </c>
      <c r="B636" s="243" t="s">
        <v>25</v>
      </c>
      <c r="O636" s="244">
        <f>SUM(O579,O576,O573,O570,O567,O582,O585,O588,O591,O594,O597,O600,O603,O606,O609,O612+O615+O618+O621+O624+O627+O630+O633)</f>
        <v>1192237590.3589997</v>
      </c>
    </row>
    <row r="637" s="243" customFormat="1" ht="12.75" customHeight="1" thickTop="1">
      <c r="O637" s="246"/>
    </row>
    <row r="638" s="243" customFormat="1" ht="12.75" customHeight="1">
      <c r="O638" s="246"/>
    </row>
    <row r="639" s="243" customFormat="1" ht="12.75" customHeight="1">
      <c r="O639" s="246"/>
    </row>
    <row r="640" s="243" customFormat="1" ht="12.75" customHeight="1">
      <c r="O640" s="246"/>
    </row>
    <row r="641" spans="1:15" s="243" customFormat="1" ht="12.75" customHeight="1">
      <c r="A641" s="17" t="s">
        <v>29</v>
      </c>
      <c r="C641" s="4" t="s">
        <v>0</v>
      </c>
      <c r="D641" s="4" t="s">
        <v>1</v>
      </c>
      <c r="E641" s="4" t="s">
        <v>2</v>
      </c>
      <c r="F641" s="4" t="s">
        <v>3</v>
      </c>
      <c r="G641" s="4" t="s">
        <v>34</v>
      </c>
      <c r="H641" s="4" t="s">
        <v>20</v>
      </c>
      <c r="I641" s="4" t="s">
        <v>4</v>
      </c>
      <c r="J641" s="4" t="s">
        <v>110</v>
      </c>
      <c r="K641" s="4" t="s">
        <v>113</v>
      </c>
      <c r="L641" s="4" t="str">
        <f>L5</f>
        <v>E-Z RENT</v>
      </c>
      <c r="M641" s="4" t="s">
        <v>5</v>
      </c>
      <c r="O641" s="246"/>
    </row>
    <row r="642" spans="2:15" s="243" customFormat="1" ht="12.75" customHeight="1">
      <c r="B642" s="128" t="s">
        <v>18</v>
      </c>
      <c r="C642" s="242">
        <f aca="true" t="shared" si="107" ref="C642:M642">SUM(C6+C52+C98+C144+C190+C236+C282+C328+C374)</f>
        <v>8764189.370000001</v>
      </c>
      <c r="D642" s="242">
        <f t="shared" si="107"/>
        <v>592187.17</v>
      </c>
      <c r="E642" s="242">
        <f t="shared" si="107"/>
        <v>187043.09</v>
      </c>
      <c r="F642" s="242">
        <f t="shared" si="107"/>
        <v>26766977</v>
      </c>
      <c r="G642" s="242">
        <f t="shared" si="107"/>
        <v>0</v>
      </c>
      <c r="H642" s="242">
        <f t="shared" si="107"/>
        <v>0</v>
      </c>
      <c r="I642" s="242">
        <f t="shared" si="107"/>
        <v>48604.13999999999</v>
      </c>
      <c r="J642" s="242">
        <f t="shared" si="107"/>
        <v>0</v>
      </c>
      <c r="K642" s="242">
        <f t="shared" si="107"/>
        <v>0</v>
      </c>
      <c r="L642" s="242">
        <f t="shared" si="107"/>
        <v>0</v>
      </c>
      <c r="M642" s="242">
        <f t="shared" si="107"/>
        <v>579531.48</v>
      </c>
      <c r="O642" s="246"/>
    </row>
    <row r="643" spans="2:15" s="243" customFormat="1" ht="12.75" customHeight="1">
      <c r="B643" s="128" t="s">
        <v>19</v>
      </c>
      <c r="C643" s="242">
        <f aca="true" t="shared" si="108" ref="C643:M643">SUM(C7+C53+C99+C145+C191+C237+C283+C329+C375)</f>
        <v>458012.4799999999</v>
      </c>
      <c r="D643" s="242">
        <f t="shared" si="108"/>
        <v>0</v>
      </c>
      <c r="E643" s="242">
        <f t="shared" si="108"/>
        <v>8766.45</v>
      </c>
      <c r="F643" s="242">
        <f t="shared" si="108"/>
        <v>457816.41000000003</v>
      </c>
      <c r="G643" s="242">
        <f t="shared" si="108"/>
        <v>0</v>
      </c>
      <c r="H643" s="242">
        <f t="shared" si="108"/>
        <v>0</v>
      </c>
      <c r="I643" s="242">
        <f t="shared" si="108"/>
        <v>38854.31</v>
      </c>
      <c r="J643" s="242">
        <f t="shared" si="108"/>
        <v>0</v>
      </c>
      <c r="K643" s="242">
        <f t="shared" si="108"/>
        <v>0</v>
      </c>
      <c r="L643" s="242">
        <f t="shared" si="108"/>
        <v>0</v>
      </c>
      <c r="M643" s="242">
        <f t="shared" si="108"/>
        <v>0</v>
      </c>
      <c r="O643" s="246"/>
    </row>
    <row r="644" spans="3:15" s="243" customFormat="1" ht="12.75" customHeight="1"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O644" s="246"/>
    </row>
    <row r="645" spans="3:15" s="243" customFormat="1" ht="12.75" customHeight="1" thickBot="1">
      <c r="C645" s="247">
        <f aca="true" t="shared" si="109" ref="C645:M645">SUM(C642:C644)</f>
        <v>9222201.850000001</v>
      </c>
      <c r="D645" s="247">
        <f t="shared" si="109"/>
        <v>592187.17</v>
      </c>
      <c r="E645" s="247">
        <f t="shared" si="109"/>
        <v>195809.54</v>
      </c>
      <c r="F645" s="247">
        <f t="shared" si="109"/>
        <v>27224793.41</v>
      </c>
      <c r="G645" s="247">
        <f t="shared" si="109"/>
        <v>0</v>
      </c>
      <c r="H645" s="247">
        <f t="shared" si="109"/>
        <v>0</v>
      </c>
      <c r="I645" s="247">
        <f t="shared" si="109"/>
        <v>87458.44999999998</v>
      </c>
      <c r="J645" s="247">
        <f t="shared" si="109"/>
        <v>0</v>
      </c>
      <c r="K645" s="247">
        <f t="shared" si="109"/>
        <v>0</v>
      </c>
      <c r="L645" s="247">
        <f t="shared" si="109"/>
        <v>0</v>
      </c>
      <c r="M645" s="247">
        <f t="shared" si="109"/>
        <v>579531.48</v>
      </c>
      <c r="O645" s="129">
        <f>SUM(C645:M645)</f>
        <v>37901981.9</v>
      </c>
    </row>
    <row r="646" s="243" customFormat="1" ht="12.75" customHeight="1" thickTop="1">
      <c r="O646" s="246"/>
    </row>
    <row r="647" s="243" customFormat="1" ht="12.75" customHeight="1">
      <c r="O647" s="246"/>
    </row>
    <row r="648" spans="1:15" s="243" customFormat="1" ht="12.75" customHeight="1">
      <c r="A648" s="17" t="s">
        <v>28</v>
      </c>
      <c r="C648" s="4" t="s">
        <v>0</v>
      </c>
      <c r="D648" s="4" t="s">
        <v>1</v>
      </c>
      <c r="E648" s="4" t="str">
        <f>E641</f>
        <v>Budget</v>
      </c>
      <c r="F648" s="4" t="s">
        <v>3</v>
      </c>
      <c r="G648" s="4" t="s">
        <v>34</v>
      </c>
      <c r="H648" s="4" t="s">
        <v>20</v>
      </c>
      <c r="I648" s="4" t="s">
        <v>4</v>
      </c>
      <c r="J648" s="4" t="s">
        <v>110</v>
      </c>
      <c r="K648" s="4" t="s">
        <v>113</v>
      </c>
      <c r="L648" s="4" t="str">
        <f>L5</f>
        <v>E-Z RENT</v>
      </c>
      <c r="M648" s="4" t="s">
        <v>5</v>
      </c>
      <c r="O648" s="246"/>
    </row>
    <row r="649" spans="2:15" s="243" customFormat="1" ht="12.75" customHeight="1">
      <c r="B649" s="128" t="s">
        <v>18</v>
      </c>
      <c r="C649" s="242">
        <f aca="true" t="shared" si="110" ref="C649:M649">SUM(C420+C466+C512+C8+C54+C100+C146+C192+C238+C284+C330+C376)</f>
        <v>12318770.149999999</v>
      </c>
      <c r="D649" s="242">
        <f t="shared" si="110"/>
        <v>744372.25</v>
      </c>
      <c r="E649" s="242">
        <f t="shared" si="110"/>
        <v>226109.41999999998</v>
      </c>
      <c r="F649" s="242">
        <f t="shared" si="110"/>
        <v>33398662</v>
      </c>
      <c r="G649" s="242">
        <f t="shared" si="110"/>
        <v>0</v>
      </c>
      <c r="H649" s="242">
        <f t="shared" si="110"/>
        <v>0</v>
      </c>
      <c r="I649" s="242">
        <f t="shared" si="110"/>
        <v>568088.81</v>
      </c>
      <c r="J649" s="242">
        <f t="shared" si="110"/>
        <v>0</v>
      </c>
      <c r="K649" s="242">
        <f t="shared" si="110"/>
        <v>0</v>
      </c>
      <c r="L649" s="242">
        <f t="shared" si="110"/>
        <v>0</v>
      </c>
      <c r="M649" s="242">
        <f t="shared" si="110"/>
        <v>613674.14</v>
      </c>
      <c r="O649" s="246"/>
    </row>
    <row r="650" spans="2:15" s="243" customFormat="1" ht="12.75" customHeight="1">
      <c r="B650" s="128" t="s">
        <v>19</v>
      </c>
      <c r="C650" s="288">
        <f aca="true" t="shared" si="111" ref="C650:M650">SUM(C421+C467+C513+C9+C55+C101+C147+C193+C239+C285+C331+C377)</f>
        <v>648007.3200000001</v>
      </c>
      <c r="D650" s="288">
        <f t="shared" si="111"/>
        <v>0</v>
      </c>
      <c r="E650" s="288">
        <f t="shared" si="111"/>
        <v>32710.89</v>
      </c>
      <c r="F650" s="288">
        <f t="shared" si="111"/>
        <v>1128781.42</v>
      </c>
      <c r="G650" s="288">
        <f t="shared" si="111"/>
        <v>0</v>
      </c>
      <c r="H650" s="288">
        <f t="shared" si="111"/>
        <v>0</v>
      </c>
      <c r="I650" s="288">
        <f t="shared" si="111"/>
        <v>403851.22</v>
      </c>
      <c r="J650" s="288">
        <f t="shared" si="111"/>
        <v>0</v>
      </c>
      <c r="K650" s="288">
        <f t="shared" si="111"/>
        <v>0</v>
      </c>
      <c r="L650" s="288">
        <f t="shared" si="111"/>
        <v>0</v>
      </c>
      <c r="M650" s="288">
        <f t="shared" si="111"/>
        <v>2367.52</v>
      </c>
      <c r="O650" s="246"/>
    </row>
    <row r="651" s="243" customFormat="1" ht="12.75" customHeight="1">
      <c r="O651" s="246"/>
    </row>
    <row r="652" spans="3:15" s="243" customFormat="1" ht="12.75" customHeight="1" thickBot="1">
      <c r="C652" s="247">
        <f aca="true" t="shared" si="112" ref="C652:I652">SUM(C649:C651)</f>
        <v>12966777.469999999</v>
      </c>
      <c r="D652" s="247">
        <f t="shared" si="112"/>
        <v>744372.25</v>
      </c>
      <c r="E652" s="247">
        <f t="shared" si="112"/>
        <v>258820.31</v>
      </c>
      <c r="F652" s="247">
        <f t="shared" si="112"/>
        <v>34527443.42</v>
      </c>
      <c r="G652" s="247">
        <f>SUM(G649:G651)</f>
        <v>0</v>
      </c>
      <c r="H652" s="247">
        <f t="shared" si="112"/>
        <v>0</v>
      </c>
      <c r="I652" s="247">
        <f t="shared" si="112"/>
        <v>971940.03</v>
      </c>
      <c r="J652" s="247">
        <f>SUM(J649:J651)</f>
        <v>0</v>
      </c>
      <c r="K652" s="247">
        <f>SUM(K649:K651)</f>
        <v>0</v>
      </c>
      <c r="L652" s="247">
        <f>SUM(L649:L651)</f>
        <v>0</v>
      </c>
      <c r="M652" s="247">
        <f>SUM(M649:M651)</f>
        <v>616041.66</v>
      </c>
      <c r="O652" s="129">
        <f>SUM(C652:M652)</f>
        <v>50085395.14</v>
      </c>
    </row>
    <row r="653" s="243" customFormat="1" ht="12.75" customHeight="1" thickTop="1">
      <c r="O653" s="246"/>
    </row>
    <row r="654" s="243" customFormat="1" ht="12.75" customHeight="1">
      <c r="O654" s="246"/>
    </row>
    <row r="655" spans="1:13" ht="12.75" customHeight="1">
      <c r="A655" t="s">
        <v>27</v>
      </c>
      <c r="C655" s="4" t="s">
        <v>0</v>
      </c>
      <c r="D655" s="4" t="s">
        <v>1</v>
      </c>
      <c r="E655" s="4" t="str">
        <f>E641</f>
        <v>Budget</v>
      </c>
      <c r="F655" s="4" t="s">
        <v>3</v>
      </c>
      <c r="G655" s="4" t="s">
        <v>34</v>
      </c>
      <c r="H655" s="4" t="s">
        <v>20</v>
      </c>
      <c r="I655" s="4" t="s">
        <v>4</v>
      </c>
      <c r="J655" s="4" t="s">
        <v>110</v>
      </c>
      <c r="K655" s="4" t="s">
        <v>113</v>
      </c>
      <c r="L655" s="4" t="str">
        <f>L5</f>
        <v>E-Z RENT</v>
      </c>
      <c r="M655" s="4" t="s">
        <v>5</v>
      </c>
    </row>
    <row r="656" spans="2:13" ht="12.75" customHeight="1">
      <c r="B656" s="128" t="s">
        <v>18</v>
      </c>
      <c r="C656" s="6">
        <f aca="true" t="shared" si="113" ref="C656:M656">C422+C468+C514+C10+C56+C102+C148+C194+C240+C286+C332+C378</f>
        <v>13595045.710000003</v>
      </c>
      <c r="D656" s="6">
        <f t="shared" si="113"/>
        <v>636086.4500000001</v>
      </c>
      <c r="E656" s="6">
        <f t="shared" si="113"/>
        <v>135471.45</v>
      </c>
      <c r="F656" s="6">
        <f t="shared" si="113"/>
        <v>34866544.24</v>
      </c>
      <c r="G656" s="6">
        <f t="shared" si="113"/>
        <v>0</v>
      </c>
      <c r="H656" s="6">
        <f t="shared" si="113"/>
        <v>0</v>
      </c>
      <c r="I656" s="6">
        <f t="shared" si="113"/>
        <v>362637.07000000007</v>
      </c>
      <c r="J656" s="6">
        <f t="shared" si="113"/>
        <v>0</v>
      </c>
      <c r="K656" s="6">
        <f t="shared" si="113"/>
        <v>0</v>
      </c>
      <c r="L656" s="6">
        <f t="shared" si="113"/>
        <v>0</v>
      </c>
      <c r="M656" s="6">
        <f t="shared" si="113"/>
        <v>492149.7</v>
      </c>
    </row>
    <row r="657" spans="2:13" ht="12.75" customHeight="1">
      <c r="B657" s="128" t="s">
        <v>19</v>
      </c>
      <c r="C657" s="129">
        <f aca="true" t="shared" si="114" ref="C657:M657">C423+C469+C515+C11+C57+C103+C149+C195+C241+C287+C333+C379</f>
        <v>720949.4299999999</v>
      </c>
      <c r="D657" s="129">
        <f t="shared" si="114"/>
        <v>81187.4</v>
      </c>
      <c r="E657" s="129">
        <f t="shared" si="114"/>
        <v>83749.95999999998</v>
      </c>
      <c r="F657" s="129">
        <f t="shared" si="114"/>
        <v>1781171.06</v>
      </c>
      <c r="G657" s="129">
        <f t="shared" si="114"/>
        <v>0</v>
      </c>
      <c r="H657" s="129">
        <f t="shared" si="114"/>
        <v>0</v>
      </c>
      <c r="I657" s="129">
        <f t="shared" si="114"/>
        <v>1098719.9600000002</v>
      </c>
      <c r="J657" s="129">
        <f t="shared" si="114"/>
        <v>0</v>
      </c>
      <c r="K657" s="129">
        <f t="shared" si="114"/>
        <v>0</v>
      </c>
      <c r="L657" s="129">
        <f t="shared" si="114"/>
        <v>0</v>
      </c>
      <c r="M657" s="129">
        <f t="shared" si="114"/>
        <v>56212.34</v>
      </c>
    </row>
    <row r="658" ht="12.75" customHeight="1">
      <c r="C658" s="6"/>
    </row>
    <row r="659" spans="3:15" ht="12.75" customHeight="1" thickBot="1">
      <c r="C659" s="24">
        <f aca="true" t="shared" si="115" ref="C659:I659">SUM(C656:C658)</f>
        <v>14315995.140000002</v>
      </c>
      <c r="D659" s="24">
        <f t="shared" si="115"/>
        <v>717273.8500000001</v>
      </c>
      <c r="E659" s="24">
        <f t="shared" si="115"/>
        <v>219221.40999999997</v>
      </c>
      <c r="F659" s="24">
        <f t="shared" si="115"/>
        <v>36647715.300000004</v>
      </c>
      <c r="G659" s="24">
        <f>SUM(G656:G658)</f>
        <v>0</v>
      </c>
      <c r="H659" s="24">
        <f t="shared" si="115"/>
        <v>0</v>
      </c>
      <c r="I659" s="24">
        <f t="shared" si="115"/>
        <v>1461357.0300000003</v>
      </c>
      <c r="J659" s="24">
        <f>SUM(J656:J658)</f>
        <v>0</v>
      </c>
      <c r="K659" s="24">
        <f>SUM(K656:K658)</f>
        <v>0</v>
      </c>
      <c r="L659" s="24">
        <f>SUM(L656:L658)</f>
        <v>0</v>
      </c>
      <c r="M659" s="24">
        <f>SUM(M656:M658)</f>
        <v>548362.04</v>
      </c>
      <c r="O659" s="129">
        <f>SUM(C659:M659)</f>
        <v>53909924.77</v>
      </c>
    </row>
    <row r="660" ht="12.75" customHeight="1" thickTop="1"/>
    <row r="661" ht="12.75" customHeight="1"/>
    <row r="662" spans="1:14" ht="12.75" customHeight="1">
      <c r="A662" t="s">
        <v>15</v>
      </c>
      <c r="B662" s="4"/>
      <c r="C662" s="4" t="s">
        <v>0</v>
      </c>
      <c r="D662" s="4" t="s">
        <v>1</v>
      </c>
      <c r="E662" s="4" t="str">
        <f>E641</f>
        <v>Budget</v>
      </c>
      <c r="F662" s="4" t="s">
        <v>3</v>
      </c>
      <c r="G662" s="4" t="s">
        <v>34</v>
      </c>
      <c r="H662" s="4" t="s">
        <v>20</v>
      </c>
      <c r="I662" s="4" t="s">
        <v>4</v>
      </c>
      <c r="J662" s="4" t="s">
        <v>110</v>
      </c>
      <c r="K662" s="4" t="s">
        <v>113</v>
      </c>
      <c r="L662" s="4" t="str">
        <f>L5</f>
        <v>E-Z RENT</v>
      </c>
      <c r="M662" s="4" t="s">
        <v>5</v>
      </c>
      <c r="N662" s="4"/>
    </row>
    <row r="663" spans="2:13" ht="12.75" customHeight="1">
      <c r="B663" s="128" t="s">
        <v>18</v>
      </c>
      <c r="C663" s="6">
        <f aca="true" t="shared" si="116" ref="C663:M663">C424+C470+C516+C12+C58+C104+C150+C196+C242+C288+C334+C380</f>
        <v>9266995.55</v>
      </c>
      <c r="D663" s="6">
        <f t="shared" si="116"/>
        <v>569485.54</v>
      </c>
      <c r="E663" s="6">
        <f t="shared" si="116"/>
        <v>12711.26</v>
      </c>
      <c r="F663" s="6">
        <f t="shared" si="116"/>
        <v>29765257.36</v>
      </c>
      <c r="G663" s="6">
        <f t="shared" si="116"/>
        <v>0</v>
      </c>
      <c r="H663" s="6">
        <f t="shared" si="116"/>
        <v>0</v>
      </c>
      <c r="I663" s="6">
        <f t="shared" si="116"/>
        <v>1036937.51</v>
      </c>
      <c r="J663" s="6">
        <f t="shared" si="116"/>
        <v>0</v>
      </c>
      <c r="K663" s="6">
        <f t="shared" si="116"/>
        <v>0</v>
      </c>
      <c r="L663" s="6">
        <f t="shared" si="116"/>
        <v>0</v>
      </c>
      <c r="M663" s="6">
        <f t="shared" si="116"/>
        <v>244881.90999999995</v>
      </c>
    </row>
    <row r="664" spans="2:13" ht="12.75" customHeight="1">
      <c r="B664" s="128" t="s">
        <v>19</v>
      </c>
      <c r="C664" s="6">
        <f aca="true" t="shared" si="117" ref="C664:M664">C425+C471+C517+C13+C59+C105+C151+C197+C243+C289+C335+C381</f>
        <v>496722.42999999993</v>
      </c>
      <c r="D664" s="6">
        <f t="shared" si="117"/>
        <v>999826.16</v>
      </c>
      <c r="E664" s="6">
        <f t="shared" si="117"/>
        <v>142933.46</v>
      </c>
      <c r="F664" s="6">
        <f t="shared" si="117"/>
        <v>1213629.56</v>
      </c>
      <c r="G664" s="6">
        <f t="shared" si="117"/>
        <v>0</v>
      </c>
      <c r="H664" s="6">
        <f t="shared" si="117"/>
        <v>31708.570000000003</v>
      </c>
      <c r="I664" s="6">
        <f t="shared" si="117"/>
        <v>1304014.91</v>
      </c>
      <c r="J664" s="6">
        <f t="shared" si="117"/>
        <v>0</v>
      </c>
      <c r="K664" s="6">
        <f t="shared" si="117"/>
        <v>0</v>
      </c>
      <c r="L664" s="6">
        <f t="shared" si="117"/>
        <v>0</v>
      </c>
      <c r="M664" s="6">
        <f t="shared" si="117"/>
        <v>112242.95999999999</v>
      </c>
    </row>
    <row r="665" spans="3:13" ht="12.75" customHeight="1"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</row>
    <row r="666" spans="3:15" ht="12.75" customHeight="1" thickBot="1">
      <c r="C666" s="24">
        <f aca="true" t="shared" si="118" ref="C666:I666">SUM(C663:C665)</f>
        <v>9763717.98</v>
      </c>
      <c r="D666" s="24">
        <f t="shared" si="118"/>
        <v>1569311.7000000002</v>
      </c>
      <c r="E666" s="24">
        <f t="shared" si="118"/>
        <v>155644.72</v>
      </c>
      <c r="F666" s="24">
        <f t="shared" si="118"/>
        <v>30978886.919999998</v>
      </c>
      <c r="G666" s="24">
        <f>SUM(G663:G665)</f>
        <v>0</v>
      </c>
      <c r="H666" s="24">
        <f t="shared" si="118"/>
        <v>31708.570000000003</v>
      </c>
      <c r="I666" s="24">
        <f t="shared" si="118"/>
        <v>2340952.42</v>
      </c>
      <c r="J666" s="24">
        <f>SUM(J663:J665)</f>
        <v>0</v>
      </c>
      <c r="K666" s="24">
        <f>SUM(K663:K665)</f>
        <v>0</v>
      </c>
      <c r="L666" s="24">
        <f>SUM(L663:L665)</f>
        <v>0</v>
      </c>
      <c r="M666" s="24">
        <f>SUM(M663:M665)</f>
        <v>357124.86999999994</v>
      </c>
      <c r="O666" s="129">
        <f>SUM(C666:M666)</f>
        <v>45197347.18</v>
      </c>
    </row>
    <row r="667" ht="12.75" customHeight="1" thickTop="1"/>
    <row r="668" ht="12.75" customHeight="1"/>
    <row r="669" spans="1:13" ht="12.75" customHeight="1">
      <c r="A669" t="s">
        <v>17</v>
      </c>
      <c r="B669" s="128"/>
      <c r="C669" s="4" t="s">
        <v>0</v>
      </c>
      <c r="D669" s="4" t="s">
        <v>1</v>
      </c>
      <c r="E669" s="4" t="s">
        <v>2</v>
      </c>
      <c r="F669" s="4" t="s">
        <v>3</v>
      </c>
      <c r="G669" s="4" t="s">
        <v>34</v>
      </c>
      <c r="H669" s="4" t="s">
        <v>20</v>
      </c>
      <c r="I669" s="4" t="s">
        <v>4</v>
      </c>
      <c r="J669" s="4" t="s">
        <v>110</v>
      </c>
      <c r="K669" s="4" t="s">
        <v>113</v>
      </c>
      <c r="L669" s="4" t="str">
        <f>L5</f>
        <v>E-Z RENT</v>
      </c>
      <c r="M669" s="4" t="s">
        <v>5</v>
      </c>
    </row>
    <row r="670" spans="2:13" ht="12.75" customHeight="1">
      <c r="B670" s="128" t="s">
        <v>18</v>
      </c>
      <c r="C670" s="6">
        <f aca="true" t="shared" si="119" ref="C670:M670">C426+C472+C518+C14+C60+C106+C152+C198+C244+C290+C336+C382</f>
        <v>8754706.91</v>
      </c>
      <c r="D670" s="6">
        <f t="shared" si="119"/>
        <v>1033539.59</v>
      </c>
      <c r="E670" s="6">
        <f t="shared" si="119"/>
        <v>0</v>
      </c>
      <c r="F670" s="6">
        <f t="shared" si="119"/>
        <v>29314555.970000003</v>
      </c>
      <c r="G670" s="6">
        <f t="shared" si="119"/>
        <v>0</v>
      </c>
      <c r="H670" s="6">
        <f t="shared" si="119"/>
        <v>0</v>
      </c>
      <c r="I670" s="6">
        <f t="shared" si="119"/>
        <v>505177.82</v>
      </c>
      <c r="J670" s="6">
        <f t="shared" si="119"/>
        <v>0</v>
      </c>
      <c r="K670" s="6">
        <f t="shared" si="119"/>
        <v>0</v>
      </c>
      <c r="L670" s="6">
        <f t="shared" si="119"/>
        <v>0</v>
      </c>
      <c r="M670" s="6">
        <f t="shared" si="119"/>
        <v>310181.84</v>
      </c>
    </row>
    <row r="671" spans="2:13" ht="12.75" customHeight="1">
      <c r="B671" s="128" t="s">
        <v>19</v>
      </c>
      <c r="C671" s="129">
        <f aca="true" t="shared" si="120" ref="C671:M671">C427+C473+C519+C15+C61+C107+C153+C199+C245+C291+C337+C383</f>
        <v>1563600.94</v>
      </c>
      <c r="D671" s="129">
        <f t="shared" si="120"/>
        <v>1222151.69</v>
      </c>
      <c r="E671" s="129">
        <f t="shared" si="120"/>
        <v>536305.32</v>
      </c>
      <c r="F671" s="129">
        <f t="shared" si="120"/>
        <v>1340591.22</v>
      </c>
      <c r="G671" s="129">
        <f t="shared" si="120"/>
        <v>0</v>
      </c>
      <c r="H671" s="129">
        <f t="shared" si="120"/>
        <v>96838.56</v>
      </c>
      <c r="I671" s="129">
        <f t="shared" si="120"/>
        <v>1601644.99</v>
      </c>
      <c r="J671" s="129">
        <f t="shared" si="120"/>
        <v>0</v>
      </c>
      <c r="K671" s="129">
        <f t="shared" si="120"/>
        <v>0</v>
      </c>
      <c r="L671" s="129">
        <f t="shared" si="120"/>
        <v>0</v>
      </c>
      <c r="M671" s="129">
        <f t="shared" si="120"/>
        <v>163000.74</v>
      </c>
    </row>
    <row r="672" ht="12.75" customHeight="1"/>
    <row r="673" spans="3:15" ht="12.75" customHeight="1" thickBot="1">
      <c r="C673" s="24">
        <f aca="true" t="shared" si="121" ref="C673:M673">SUM(C670:C672)</f>
        <v>10318307.85</v>
      </c>
      <c r="D673" s="24">
        <f t="shared" si="121"/>
        <v>2255691.28</v>
      </c>
      <c r="E673" s="24">
        <f t="shared" si="121"/>
        <v>536305.32</v>
      </c>
      <c r="F673" s="24">
        <f t="shared" si="121"/>
        <v>30655147.19</v>
      </c>
      <c r="G673" s="24">
        <f>SUM(G670:G672)</f>
        <v>0</v>
      </c>
      <c r="H673" s="24">
        <f t="shared" si="121"/>
        <v>96838.56</v>
      </c>
      <c r="I673" s="24">
        <f t="shared" si="121"/>
        <v>2106822.81</v>
      </c>
      <c r="J673" s="24">
        <f>SUM(J670:J672)</f>
        <v>0</v>
      </c>
      <c r="K673" s="24">
        <f>SUM(K670:K672)</f>
        <v>0</v>
      </c>
      <c r="L673" s="24">
        <f t="shared" si="121"/>
        <v>0</v>
      </c>
      <c r="M673" s="24">
        <f t="shared" si="121"/>
        <v>473182.58</v>
      </c>
      <c r="O673" s="129">
        <f>SUM(C673:M673)</f>
        <v>46442295.59</v>
      </c>
    </row>
    <row r="674" ht="12.75" customHeight="1" thickTop="1"/>
    <row r="675" ht="12.75" customHeight="1"/>
    <row r="676" spans="1:13" ht="12.75" customHeight="1">
      <c r="A676" t="s">
        <v>26</v>
      </c>
      <c r="C676" s="4" t="s">
        <v>0</v>
      </c>
      <c r="D676" s="4" t="s">
        <v>1</v>
      </c>
      <c r="E676" s="4" t="s">
        <v>2</v>
      </c>
      <c r="F676" s="4" t="s">
        <v>3</v>
      </c>
      <c r="G676" s="4" t="s">
        <v>34</v>
      </c>
      <c r="H676" s="4" t="s">
        <v>20</v>
      </c>
      <c r="I676" s="4" t="s">
        <v>4</v>
      </c>
      <c r="J676" s="4" t="s">
        <v>110</v>
      </c>
      <c r="K676" s="4" t="s">
        <v>113</v>
      </c>
      <c r="L676" s="4" t="str">
        <f>L5</f>
        <v>E-Z RENT</v>
      </c>
      <c r="M676" s="4" t="s">
        <v>5</v>
      </c>
    </row>
    <row r="677" spans="2:13" ht="12.75" customHeight="1">
      <c r="B677" s="128" t="s">
        <v>18</v>
      </c>
      <c r="C677" s="6">
        <f aca="true" t="shared" si="122" ref="C677:M677">SUM(C428+C474+C520+C16+C62+C108+C154+C200+C246+C292+C338+C384)</f>
        <v>11304066.059999999</v>
      </c>
      <c r="D677" s="6">
        <f t="shared" si="122"/>
        <v>1137798.1400000001</v>
      </c>
      <c r="E677" s="6">
        <f t="shared" si="122"/>
        <v>0</v>
      </c>
      <c r="F677" s="6">
        <f t="shared" si="122"/>
        <v>32641754.509999998</v>
      </c>
      <c r="G677" s="6">
        <f t="shared" si="122"/>
        <v>0</v>
      </c>
      <c r="H677" s="6">
        <f t="shared" si="122"/>
        <v>0</v>
      </c>
      <c r="I677" s="6">
        <f t="shared" si="122"/>
        <v>1007099.9100000001</v>
      </c>
      <c r="J677" s="6">
        <f t="shared" si="122"/>
        <v>0</v>
      </c>
      <c r="K677" s="6">
        <f t="shared" si="122"/>
        <v>0</v>
      </c>
      <c r="L677" s="6">
        <f t="shared" si="122"/>
        <v>0</v>
      </c>
      <c r="M677" s="6">
        <f t="shared" si="122"/>
        <v>569088.45</v>
      </c>
    </row>
    <row r="678" spans="2:13" ht="12.75" customHeight="1">
      <c r="B678" s="128" t="s">
        <v>19</v>
      </c>
      <c r="C678" s="129">
        <f aca="true" t="shared" si="123" ref="C678:M678">SUM(C429+C475+C521+C17+C63+C109+C155+C201+C247+C293+C339+C385)</f>
        <v>3520776.1399999997</v>
      </c>
      <c r="D678" s="129">
        <f t="shared" si="123"/>
        <v>2372823.96</v>
      </c>
      <c r="E678" s="129">
        <f t="shared" si="123"/>
        <v>1392707.7499999998</v>
      </c>
      <c r="F678" s="129">
        <f t="shared" si="123"/>
        <v>2735277.5599999996</v>
      </c>
      <c r="G678" s="129">
        <f t="shared" si="123"/>
        <v>0</v>
      </c>
      <c r="H678" s="129">
        <f t="shared" si="123"/>
        <v>558121.11</v>
      </c>
      <c r="I678" s="129">
        <f t="shared" si="123"/>
        <v>2877621.34</v>
      </c>
      <c r="J678" s="129">
        <f t="shared" si="123"/>
        <v>0</v>
      </c>
      <c r="K678" s="129">
        <f t="shared" si="123"/>
        <v>0</v>
      </c>
      <c r="L678" s="129">
        <f t="shared" si="123"/>
        <v>204604</v>
      </c>
      <c r="M678" s="129">
        <f t="shared" si="123"/>
        <v>127358.28</v>
      </c>
    </row>
    <row r="679" ht="12.75" customHeight="1"/>
    <row r="680" spans="3:15" ht="12.75" customHeight="1" thickBot="1">
      <c r="C680" s="24">
        <f aca="true" t="shared" si="124" ref="C680:M680">SUM(C677:C679)</f>
        <v>14824842.2</v>
      </c>
      <c r="D680" s="24">
        <f t="shared" si="124"/>
        <v>3510622.1</v>
      </c>
      <c r="E680" s="24">
        <f t="shared" si="124"/>
        <v>1392707.7499999998</v>
      </c>
      <c r="F680" s="24">
        <f t="shared" si="124"/>
        <v>35377032.07</v>
      </c>
      <c r="G680" s="24">
        <f>SUM(G677:G679)</f>
        <v>0</v>
      </c>
      <c r="H680" s="24">
        <f t="shared" si="124"/>
        <v>558121.11</v>
      </c>
      <c r="I680" s="24">
        <f t="shared" si="124"/>
        <v>3884721.25</v>
      </c>
      <c r="J680" s="24">
        <f>SUM(J677:J679)</f>
        <v>0</v>
      </c>
      <c r="K680" s="24">
        <f>SUM(K677:K679)</f>
        <v>0</v>
      </c>
      <c r="L680" s="24">
        <f t="shared" si="124"/>
        <v>204604</v>
      </c>
      <c r="M680" s="24">
        <f t="shared" si="124"/>
        <v>696446.73</v>
      </c>
      <c r="O680" s="129">
        <f>SUM(C680:M680)</f>
        <v>60449097.21</v>
      </c>
    </row>
    <row r="681" ht="12.75" customHeight="1" thickTop="1"/>
    <row r="682" ht="12.75" customHeight="1"/>
    <row r="683" spans="1:13" ht="12.75" customHeight="1">
      <c r="A683" t="s">
        <v>31</v>
      </c>
      <c r="C683" s="4" t="s">
        <v>0</v>
      </c>
      <c r="D683" s="4" t="s">
        <v>1</v>
      </c>
      <c r="E683" s="4" t="s">
        <v>2</v>
      </c>
      <c r="F683" s="4" t="s">
        <v>3</v>
      </c>
      <c r="G683" s="4" t="s">
        <v>34</v>
      </c>
      <c r="H683" s="4" t="s">
        <v>20</v>
      </c>
      <c r="I683" s="4" t="s">
        <v>4</v>
      </c>
      <c r="J683" s="4" t="s">
        <v>110</v>
      </c>
      <c r="K683" s="4" t="s">
        <v>113</v>
      </c>
      <c r="L683" s="4" t="str">
        <f>L5</f>
        <v>E-Z RENT</v>
      </c>
      <c r="M683" s="4" t="s">
        <v>5</v>
      </c>
    </row>
    <row r="684" spans="2:13" ht="12.75" customHeight="1">
      <c r="B684" s="128" t="s">
        <v>18</v>
      </c>
      <c r="C684" s="6">
        <f aca="true" t="shared" si="125" ref="C684:E685">SUM(C430,C476,C522,C18,C64,C110,C156,C202,C248,C294,C340,C386)</f>
        <v>10230585.93</v>
      </c>
      <c r="D684" s="6">
        <f t="shared" si="125"/>
        <v>1172494.22</v>
      </c>
      <c r="E684" s="6">
        <f t="shared" si="125"/>
        <v>0</v>
      </c>
      <c r="F684" s="6">
        <f>SUM(F430,F476,F18,F522,F64,F110,F156,F202,F248,F294,F340,F386)</f>
        <v>33750337.19</v>
      </c>
      <c r="G684" s="6">
        <f>SUM(G430,G476,G18,G522,G64,G110,G156,G248,G202,G294,G340,G386)</f>
        <v>9576.89</v>
      </c>
      <c r="H684" s="6">
        <f>SUM(H430,H476,H522,H18,H64,H202,H156,H110,H248,H294,H340,H386)</f>
        <v>0</v>
      </c>
      <c r="I684" s="6">
        <f aca="true" t="shared" si="126" ref="I684:K685">SUM(I430,I476,I522,I18,I64,I110,I156,I202,I248,I294,I340,I386)</f>
        <v>1439358.8599999999</v>
      </c>
      <c r="J684" s="6">
        <f t="shared" si="126"/>
        <v>0</v>
      </c>
      <c r="K684" s="6">
        <f t="shared" si="126"/>
        <v>0</v>
      </c>
      <c r="L684" s="6">
        <f>SUM(L430,L476,L522,L18,L64,L202,L156,L110,L248,L294,L340,L386)</f>
        <v>0</v>
      </c>
      <c r="M684" s="6">
        <f>SUM(M430,M476,M522,M18,M64,M110,M156,M202,M248,M294,M340,M386)</f>
        <v>556397.4099999999</v>
      </c>
    </row>
    <row r="685" spans="2:13" ht="12.75" customHeight="1">
      <c r="B685" s="128" t="s">
        <v>19</v>
      </c>
      <c r="C685" s="129">
        <f t="shared" si="125"/>
        <v>4427925.659999999</v>
      </c>
      <c r="D685" s="129">
        <f t="shared" si="125"/>
        <v>1642126.19</v>
      </c>
      <c r="E685" s="129">
        <f t="shared" si="125"/>
        <v>706200.88</v>
      </c>
      <c r="F685" s="129">
        <f>SUM(F431,F477,F523,F19,F65,F111,F157,F203,F249,F295,F341,F387)</f>
        <v>2239859.57</v>
      </c>
      <c r="G685" s="129">
        <f>SUM(G431,G477,G523,G19,G65,G111,G157,G203,G249,G295,G341,G387)</f>
        <v>206951.76</v>
      </c>
      <c r="H685" s="129">
        <f>SUM(H431,H477,H523,H19,H65,H111,H157,H203,H249,H295,H341,H387)</f>
        <v>1178246.6200000003</v>
      </c>
      <c r="I685" s="129">
        <f t="shared" si="126"/>
        <v>2052152.0799999998</v>
      </c>
      <c r="J685" s="129">
        <f t="shared" si="126"/>
        <v>0</v>
      </c>
      <c r="K685" s="129">
        <f t="shared" si="126"/>
        <v>0</v>
      </c>
      <c r="L685" s="129">
        <f>SUM(L431,L477,L523,L19,L65,L111,L157,L203,L249,L295,L341,L387)</f>
        <v>437041</v>
      </c>
      <c r="M685" s="129">
        <f>SUM(M431,M477,M523,M19,M65,M111,M157,M203,M249,M295,M341,M387)</f>
        <v>122281.63</v>
      </c>
    </row>
    <row r="686" ht="12.75" customHeight="1"/>
    <row r="687" spans="3:15" ht="12.75" customHeight="1" thickBot="1">
      <c r="C687" s="24">
        <f aca="true" t="shared" si="127" ref="C687:M687">SUM(C684:C686)</f>
        <v>14658511.59</v>
      </c>
      <c r="D687" s="24">
        <f t="shared" si="127"/>
        <v>2814620.41</v>
      </c>
      <c r="E687" s="24">
        <f t="shared" si="127"/>
        <v>706200.88</v>
      </c>
      <c r="F687" s="24">
        <f t="shared" si="127"/>
        <v>35990196.76</v>
      </c>
      <c r="G687" s="24">
        <f t="shared" si="127"/>
        <v>216528.65000000002</v>
      </c>
      <c r="H687" s="24">
        <f t="shared" si="127"/>
        <v>1178246.6200000003</v>
      </c>
      <c r="I687" s="24">
        <f t="shared" si="127"/>
        <v>3491510.9399999995</v>
      </c>
      <c r="J687" s="24">
        <f>SUM(J684:J686)</f>
        <v>0</v>
      </c>
      <c r="K687" s="24">
        <f>SUM(K684:K686)</f>
        <v>0</v>
      </c>
      <c r="L687" s="24">
        <f t="shared" si="127"/>
        <v>437041</v>
      </c>
      <c r="M687" s="24">
        <f t="shared" si="127"/>
        <v>678679.0399999999</v>
      </c>
      <c r="O687" s="129">
        <f>SUM(C687:M687)</f>
        <v>60171535.88999999</v>
      </c>
    </row>
    <row r="688" ht="12.75" customHeight="1" thickTop="1"/>
    <row r="689" ht="12.75" customHeight="1"/>
    <row r="690" spans="1:13" ht="12.75" customHeight="1">
      <c r="A690" t="s">
        <v>35</v>
      </c>
      <c r="C690" s="4" t="s">
        <v>0</v>
      </c>
      <c r="D690" s="4" t="s">
        <v>1</v>
      </c>
      <c r="E690" s="4" t="s">
        <v>2</v>
      </c>
      <c r="F690" s="4" t="s">
        <v>3</v>
      </c>
      <c r="G690" s="4" t="s">
        <v>34</v>
      </c>
      <c r="H690" s="4" t="s">
        <v>20</v>
      </c>
      <c r="I690" s="4" t="s">
        <v>4</v>
      </c>
      <c r="J690" s="4" t="s">
        <v>110</v>
      </c>
      <c r="K690" s="4" t="s">
        <v>113</v>
      </c>
      <c r="L690" s="4" t="s">
        <v>30</v>
      </c>
      <c r="M690" s="4" t="s">
        <v>5</v>
      </c>
    </row>
    <row r="691" spans="2:13" ht="12.75" customHeight="1">
      <c r="B691" s="128" t="s">
        <v>18</v>
      </c>
      <c r="C691" s="6">
        <f aca="true" t="shared" si="128" ref="C691:M691">SUM(C432+C478+C524+C20+C66+C112+C158+C204+C250+C296+C342+C388)</f>
        <v>10289717.870000003</v>
      </c>
      <c r="D691" s="6">
        <f t="shared" si="128"/>
        <v>309863.77999999997</v>
      </c>
      <c r="E691" s="6">
        <f t="shared" si="128"/>
        <v>0</v>
      </c>
      <c r="F691" s="6">
        <f t="shared" si="128"/>
        <v>28125735.150000002</v>
      </c>
      <c r="G691" s="6">
        <f t="shared" si="128"/>
        <v>6587.049999999999</v>
      </c>
      <c r="H691" s="6">
        <f t="shared" si="128"/>
        <v>0</v>
      </c>
      <c r="I691" s="6">
        <f t="shared" si="128"/>
        <v>655479.67</v>
      </c>
      <c r="J691" s="6">
        <f t="shared" si="128"/>
        <v>0</v>
      </c>
      <c r="K691" s="6">
        <f t="shared" si="128"/>
        <v>0</v>
      </c>
      <c r="L691" s="6">
        <f t="shared" si="128"/>
        <v>0</v>
      </c>
      <c r="M691" s="6">
        <f t="shared" si="128"/>
        <v>490012.75</v>
      </c>
    </row>
    <row r="692" spans="2:13" ht="12.75" customHeight="1">
      <c r="B692" s="128" t="s">
        <v>19</v>
      </c>
      <c r="C692" s="129">
        <f aca="true" t="shared" si="129" ref="C692:M692">SUM(C433+C479+C525+C21+C67+C113+C159+C205+C251+C297+C343+C389)</f>
        <v>5585737.36</v>
      </c>
      <c r="D692" s="129">
        <f t="shared" si="129"/>
        <v>2674194.85</v>
      </c>
      <c r="E692" s="129">
        <f t="shared" si="129"/>
        <v>1201410.41</v>
      </c>
      <c r="F692" s="129">
        <f t="shared" si="129"/>
        <v>2245667.23</v>
      </c>
      <c r="G692" s="129">
        <f t="shared" si="129"/>
        <v>1060323.44</v>
      </c>
      <c r="H692" s="129">
        <f t="shared" si="129"/>
        <v>1546899.12</v>
      </c>
      <c r="I692" s="129">
        <f t="shared" si="129"/>
        <v>1616674.1899999997</v>
      </c>
      <c r="J692" s="129">
        <f t="shared" si="129"/>
        <v>0</v>
      </c>
      <c r="K692" s="129">
        <f t="shared" si="129"/>
        <v>0</v>
      </c>
      <c r="L692" s="129">
        <f t="shared" si="129"/>
        <v>37713</v>
      </c>
      <c r="M692" s="129">
        <f t="shared" si="129"/>
        <v>93493.56</v>
      </c>
    </row>
    <row r="693" ht="12.75" customHeight="1"/>
    <row r="694" spans="3:15" ht="12.75" customHeight="1" thickBot="1">
      <c r="C694" s="24">
        <f>SUM(C691:C693)</f>
        <v>15875455.230000004</v>
      </c>
      <c r="D694" s="24">
        <f aca="true" t="shared" si="130" ref="D694:M694">SUM(D691:D693)</f>
        <v>2984058.63</v>
      </c>
      <c r="E694" s="24">
        <f t="shared" si="130"/>
        <v>1201410.41</v>
      </c>
      <c r="F694" s="24">
        <f t="shared" si="130"/>
        <v>30371402.380000003</v>
      </c>
      <c r="G694" s="24">
        <f t="shared" si="130"/>
        <v>1066910.49</v>
      </c>
      <c r="H694" s="24">
        <f t="shared" si="130"/>
        <v>1546899.12</v>
      </c>
      <c r="I694" s="24">
        <f t="shared" si="130"/>
        <v>2272153.86</v>
      </c>
      <c r="J694" s="24">
        <f>SUM(J691:J693)</f>
        <v>0</v>
      </c>
      <c r="K694" s="24">
        <f>SUM(K691:K693)</f>
        <v>0</v>
      </c>
      <c r="L694" s="24">
        <f t="shared" si="130"/>
        <v>37713</v>
      </c>
      <c r="M694" s="24">
        <f t="shared" si="130"/>
        <v>583506.31</v>
      </c>
      <c r="O694" s="129">
        <f>SUM(C694:M694)</f>
        <v>55939509.43000001</v>
      </c>
    </row>
    <row r="695" ht="12.75" customHeight="1" thickTop="1"/>
    <row r="696" spans="1:13" ht="12.75" customHeight="1">
      <c r="A696" t="s">
        <v>38</v>
      </c>
      <c r="C696" s="4" t="s">
        <v>0</v>
      </c>
      <c r="D696" s="4" t="s">
        <v>1</v>
      </c>
      <c r="E696" s="4" t="s">
        <v>2</v>
      </c>
      <c r="F696" s="4" t="s">
        <v>3</v>
      </c>
      <c r="G696" s="4" t="s">
        <v>34</v>
      </c>
      <c r="H696" s="4" t="s">
        <v>20</v>
      </c>
      <c r="I696" s="4" t="s">
        <v>4</v>
      </c>
      <c r="J696" s="4" t="s">
        <v>110</v>
      </c>
      <c r="K696" s="4" t="s">
        <v>113</v>
      </c>
      <c r="L696" s="4" t="s">
        <v>30</v>
      </c>
      <c r="M696" s="4" t="s">
        <v>5</v>
      </c>
    </row>
    <row r="697" spans="2:13" ht="12.75" customHeight="1">
      <c r="B697" s="128" t="s">
        <v>18</v>
      </c>
      <c r="C697" s="6">
        <f aca="true" t="shared" si="131" ref="C697:M697">SUM(C434,C480,C526,C22,C68,C114,C160,C206,C252,C298,C344,C390)</f>
        <v>10979743.79</v>
      </c>
      <c r="D697" s="6">
        <f t="shared" si="131"/>
        <v>938607.1199999999</v>
      </c>
      <c r="E697" s="6">
        <f t="shared" si="131"/>
        <v>0</v>
      </c>
      <c r="F697" s="6">
        <f t="shared" si="131"/>
        <v>29813485.83</v>
      </c>
      <c r="G697" s="6">
        <f t="shared" si="131"/>
        <v>12193.160000000002</v>
      </c>
      <c r="H697" s="6">
        <f t="shared" si="131"/>
        <v>0</v>
      </c>
      <c r="I697" s="6">
        <f t="shared" si="131"/>
        <v>834815.43</v>
      </c>
      <c r="J697" s="6">
        <f t="shared" si="131"/>
        <v>0</v>
      </c>
      <c r="K697" s="6">
        <f t="shared" si="131"/>
        <v>0</v>
      </c>
      <c r="L697" s="6">
        <f t="shared" si="131"/>
        <v>0</v>
      </c>
      <c r="M697" s="6">
        <f t="shared" si="131"/>
        <v>523344.71</v>
      </c>
    </row>
    <row r="698" spans="2:13" ht="12.75" customHeight="1">
      <c r="B698" s="128" t="s">
        <v>19</v>
      </c>
      <c r="C698" s="6">
        <f aca="true" t="shared" si="132" ref="C698:M698">SUM(C435,C481,C527,C23,C69,C115,C161,C207,C253,C299,C345,C391)</f>
        <v>8348761.2700000005</v>
      </c>
      <c r="D698" s="6">
        <f t="shared" si="132"/>
        <v>2938020.75</v>
      </c>
      <c r="E698" s="6">
        <f t="shared" si="132"/>
        <v>1579404.52</v>
      </c>
      <c r="F698" s="6">
        <f t="shared" si="132"/>
        <v>2319352.6599999997</v>
      </c>
      <c r="G698" s="6">
        <f t="shared" si="132"/>
        <v>1229561.83</v>
      </c>
      <c r="H698" s="6">
        <f t="shared" si="132"/>
        <v>2015885.6099999999</v>
      </c>
      <c r="I698" s="6">
        <f t="shared" si="132"/>
        <v>1694197.7900000003</v>
      </c>
      <c r="J698" s="6">
        <f t="shared" si="132"/>
        <v>0</v>
      </c>
      <c r="K698" s="6">
        <f t="shared" si="132"/>
        <v>0</v>
      </c>
      <c r="L698" s="6">
        <f t="shared" si="132"/>
        <v>0</v>
      </c>
      <c r="M698" s="6">
        <f t="shared" si="132"/>
        <v>82691.364</v>
      </c>
    </row>
    <row r="699" ht="12.75" customHeight="1"/>
    <row r="700" spans="3:15" ht="12.75" customHeight="1" thickBot="1">
      <c r="C700" s="24">
        <f aca="true" t="shared" si="133" ref="C700:M700">SUM(C697:C699)</f>
        <v>19328505.06</v>
      </c>
      <c r="D700" s="24">
        <f t="shared" si="133"/>
        <v>3876627.87</v>
      </c>
      <c r="E700" s="24">
        <f t="shared" si="133"/>
        <v>1579404.52</v>
      </c>
      <c r="F700" s="24">
        <f t="shared" si="133"/>
        <v>32132838.49</v>
      </c>
      <c r="G700" s="24">
        <f t="shared" si="133"/>
        <v>1241754.99</v>
      </c>
      <c r="H700" s="24">
        <f t="shared" si="133"/>
        <v>2015885.6099999999</v>
      </c>
      <c r="I700" s="24">
        <f t="shared" si="133"/>
        <v>2529013.22</v>
      </c>
      <c r="J700" s="24">
        <f>SUM(J697:J699)</f>
        <v>0</v>
      </c>
      <c r="K700" s="24">
        <f>SUM(K697:K699)</f>
        <v>0</v>
      </c>
      <c r="L700" s="24">
        <f t="shared" si="133"/>
        <v>0</v>
      </c>
      <c r="M700" s="24">
        <f t="shared" si="133"/>
        <v>606036.074</v>
      </c>
      <c r="O700" s="129">
        <f>SUM(C700:M700)</f>
        <v>63310065.834</v>
      </c>
    </row>
    <row r="701" ht="12.75" customHeight="1" thickTop="1">
      <c r="O701" s="6"/>
    </row>
    <row r="702" spans="1:13" ht="12.75" customHeight="1">
      <c r="A702" t="s">
        <v>52</v>
      </c>
      <c r="C702" s="4" t="s">
        <v>0</v>
      </c>
      <c r="D702" s="4" t="s">
        <v>1</v>
      </c>
      <c r="E702" s="4" t="s">
        <v>2</v>
      </c>
      <c r="F702" s="4" t="s">
        <v>3</v>
      </c>
      <c r="G702" s="4" t="s">
        <v>34</v>
      </c>
      <c r="H702" s="4" t="s">
        <v>20</v>
      </c>
      <c r="I702" s="4" t="s">
        <v>4</v>
      </c>
      <c r="J702" s="4" t="s">
        <v>110</v>
      </c>
      <c r="K702" s="4" t="s">
        <v>113</v>
      </c>
      <c r="L702" s="4" t="s">
        <v>30</v>
      </c>
      <c r="M702" s="4" t="s">
        <v>5</v>
      </c>
    </row>
    <row r="703" spans="2:13" ht="12.75" customHeight="1">
      <c r="B703" s="128" t="s">
        <v>18</v>
      </c>
      <c r="C703" s="6">
        <f aca="true" t="shared" si="134" ref="C703:M703">SUM(C436,C482,C528,C24,C70,C116,C162,C208,C254,C300,C346,C392,)</f>
        <v>10462493.42</v>
      </c>
      <c r="D703" s="6">
        <f t="shared" si="134"/>
        <v>337550.92999999993</v>
      </c>
      <c r="E703" s="6">
        <f t="shared" si="134"/>
        <v>0</v>
      </c>
      <c r="F703" s="6">
        <f t="shared" si="134"/>
        <v>29138179.080000002</v>
      </c>
      <c r="G703" s="6">
        <f t="shared" si="134"/>
        <v>134705.73</v>
      </c>
      <c r="H703" s="6">
        <f t="shared" si="134"/>
        <v>0</v>
      </c>
      <c r="I703" s="6">
        <f t="shared" si="134"/>
        <v>878506.91</v>
      </c>
      <c r="J703" s="6">
        <f t="shared" si="134"/>
        <v>0</v>
      </c>
      <c r="K703" s="6">
        <f t="shared" si="134"/>
        <v>0</v>
      </c>
      <c r="L703" s="6">
        <f t="shared" si="134"/>
        <v>0</v>
      </c>
      <c r="M703" s="6">
        <f t="shared" si="134"/>
        <v>179856.03999999998</v>
      </c>
    </row>
    <row r="704" spans="2:13" ht="12.75" customHeight="1">
      <c r="B704" s="128" t="s">
        <v>19</v>
      </c>
      <c r="C704" s="6">
        <f aca="true" t="shared" si="135" ref="C704:M704">SUM(C437,C483,C529,C25,C71,C117,C163,C209,C255,C301,C347,C393)</f>
        <v>10733086.739999998</v>
      </c>
      <c r="D704" s="6">
        <f t="shared" si="135"/>
        <v>3258226.34</v>
      </c>
      <c r="E704" s="6">
        <f t="shared" si="135"/>
        <v>2408396.23</v>
      </c>
      <c r="F704" s="6">
        <f t="shared" si="135"/>
        <v>1627662.6</v>
      </c>
      <c r="G704" s="6">
        <f t="shared" si="135"/>
        <v>1367359.38</v>
      </c>
      <c r="H704" s="6">
        <f t="shared" si="135"/>
        <v>3063306.1799999997</v>
      </c>
      <c r="I704" s="6">
        <f t="shared" si="135"/>
        <v>1707533.21</v>
      </c>
      <c r="J704" s="6">
        <f t="shared" si="135"/>
        <v>0</v>
      </c>
      <c r="K704" s="6">
        <f t="shared" si="135"/>
        <v>0</v>
      </c>
      <c r="L704" s="6">
        <f t="shared" si="135"/>
        <v>0</v>
      </c>
      <c r="M704" s="6">
        <f t="shared" si="135"/>
        <v>106098.79000000001</v>
      </c>
    </row>
    <row r="705" ht="12.75" customHeight="1"/>
    <row r="706" spans="3:15" ht="12.75" customHeight="1" thickBot="1">
      <c r="C706" s="24">
        <f aca="true" t="shared" si="136" ref="C706:M706">SUM(C703:C705)</f>
        <v>21195580.159999996</v>
      </c>
      <c r="D706" s="24">
        <f t="shared" si="136"/>
        <v>3595777.2699999996</v>
      </c>
      <c r="E706" s="24">
        <f t="shared" si="136"/>
        <v>2408396.23</v>
      </c>
      <c r="F706" s="24">
        <f t="shared" si="136"/>
        <v>30765841.680000003</v>
      </c>
      <c r="G706" s="24">
        <f t="shared" si="136"/>
        <v>1502065.1099999999</v>
      </c>
      <c r="H706" s="24">
        <f t="shared" si="136"/>
        <v>3063306.1799999997</v>
      </c>
      <c r="I706" s="24">
        <f t="shared" si="136"/>
        <v>2586040.12</v>
      </c>
      <c r="J706" s="24">
        <f>SUM(J703:J705)</f>
        <v>0</v>
      </c>
      <c r="K706" s="24">
        <f>SUM(K703:K705)</f>
        <v>0</v>
      </c>
      <c r="L706" s="24">
        <f t="shared" si="136"/>
        <v>0</v>
      </c>
      <c r="M706" s="24">
        <f t="shared" si="136"/>
        <v>285954.82999999996</v>
      </c>
      <c r="O706" s="129">
        <f>SUM(C706:M706)</f>
        <v>65402961.58</v>
      </c>
    </row>
    <row r="707" ht="12.75" customHeight="1" thickTop="1">
      <c r="O707" s="6"/>
    </row>
    <row r="708" spans="1:13" ht="12.75" customHeight="1">
      <c r="A708" t="s">
        <v>69</v>
      </c>
      <c r="C708" s="4" t="s">
        <v>0</v>
      </c>
      <c r="D708" s="4" t="s">
        <v>1</v>
      </c>
      <c r="E708" s="4" t="s">
        <v>2</v>
      </c>
      <c r="F708" s="4" t="s">
        <v>3</v>
      </c>
      <c r="G708" s="4" t="s">
        <v>34</v>
      </c>
      <c r="H708" s="4" t="s">
        <v>20</v>
      </c>
      <c r="I708" s="4" t="s">
        <v>4</v>
      </c>
      <c r="J708" s="4" t="s">
        <v>110</v>
      </c>
      <c r="K708" s="4" t="s">
        <v>113</v>
      </c>
      <c r="L708" s="4" t="s">
        <v>30</v>
      </c>
      <c r="M708" s="4" t="s">
        <v>5</v>
      </c>
    </row>
    <row r="709" spans="2:13" ht="12.75" customHeight="1">
      <c r="B709" s="128" t="s">
        <v>18</v>
      </c>
      <c r="C709" s="6">
        <f aca="true" t="shared" si="137" ref="C709:M709">SUM(C438,C484,C530,C26,C72,C118,C164,C210,C256,C302,C348,C394)</f>
        <v>10130959.24</v>
      </c>
      <c r="D709" s="6">
        <f t="shared" si="137"/>
        <v>3884.9300000000003</v>
      </c>
      <c r="E709" s="6">
        <f t="shared" si="137"/>
        <v>0</v>
      </c>
      <c r="F709" s="6">
        <f t="shared" si="137"/>
        <v>9275571.08</v>
      </c>
      <c r="G709" s="6">
        <f t="shared" si="137"/>
        <v>684071.73</v>
      </c>
      <c r="H709" s="6">
        <f t="shared" si="137"/>
        <v>0</v>
      </c>
      <c r="I709" s="6">
        <f t="shared" si="137"/>
        <v>473167.42</v>
      </c>
      <c r="J709" s="6">
        <f t="shared" si="137"/>
        <v>0</v>
      </c>
      <c r="K709" s="6">
        <f t="shared" si="137"/>
        <v>0</v>
      </c>
      <c r="L709" s="6">
        <f t="shared" si="137"/>
        <v>0</v>
      </c>
      <c r="M709" s="6">
        <f t="shared" si="137"/>
        <v>7685.17</v>
      </c>
    </row>
    <row r="710" spans="2:13" ht="12.75" customHeight="1">
      <c r="B710" s="128" t="s">
        <v>19</v>
      </c>
      <c r="C710" s="6">
        <f aca="true" t="shared" si="138" ref="C710:M710">SUM(C439,C485,C531,C27,C73,C119,C165,C211,C257,C303,C349,C395)</f>
        <v>11072523.99</v>
      </c>
      <c r="D710" s="6">
        <f t="shared" si="138"/>
        <v>2465781.26</v>
      </c>
      <c r="E710" s="6">
        <f t="shared" si="138"/>
        <v>3339541.3</v>
      </c>
      <c r="F710" s="6">
        <f t="shared" si="138"/>
        <v>1934992.41</v>
      </c>
      <c r="G710" s="6">
        <f t="shared" si="138"/>
        <v>1426278.8099999998</v>
      </c>
      <c r="H710" s="6">
        <f t="shared" si="138"/>
        <v>2995188.4</v>
      </c>
      <c r="I710" s="6">
        <f t="shared" si="138"/>
        <v>1645137.68</v>
      </c>
      <c r="J710" s="6">
        <f t="shared" si="138"/>
        <v>0</v>
      </c>
      <c r="K710" s="6">
        <f t="shared" si="138"/>
        <v>39251.19</v>
      </c>
      <c r="L710" s="6">
        <f t="shared" si="138"/>
        <v>0</v>
      </c>
      <c r="M710" s="6">
        <f t="shared" si="138"/>
        <v>7322.15</v>
      </c>
    </row>
    <row r="711" ht="12.75" customHeight="1"/>
    <row r="712" spans="3:15" ht="12.75" customHeight="1" thickBot="1">
      <c r="C712" s="24">
        <f aca="true" t="shared" si="139" ref="C712:M712">SUM(C709:C711)</f>
        <v>21203483.23</v>
      </c>
      <c r="D712" s="24">
        <f t="shared" si="139"/>
        <v>2469666.19</v>
      </c>
      <c r="E712" s="24">
        <f t="shared" si="139"/>
        <v>3339541.3</v>
      </c>
      <c r="F712" s="24">
        <f t="shared" si="139"/>
        <v>11210563.49</v>
      </c>
      <c r="G712" s="24">
        <f t="shared" si="139"/>
        <v>2110350.54</v>
      </c>
      <c r="H712" s="24">
        <f t="shared" si="139"/>
        <v>2995188.4</v>
      </c>
      <c r="I712" s="24">
        <f t="shared" si="139"/>
        <v>2118305.1</v>
      </c>
      <c r="J712" s="24">
        <f>SUM(J709:J711)</f>
        <v>0</v>
      </c>
      <c r="K712" s="24">
        <f>SUM(K709:K711)</f>
        <v>39251.19</v>
      </c>
      <c r="L712" s="24">
        <f t="shared" si="139"/>
        <v>0</v>
      </c>
      <c r="M712" s="24">
        <f t="shared" si="139"/>
        <v>15007.32</v>
      </c>
      <c r="O712" s="129">
        <f>SUM(C712:M712)</f>
        <v>45501356.76</v>
      </c>
    </row>
    <row r="713" ht="12.75" customHeight="1" thickTop="1"/>
    <row r="714" spans="1:13" ht="12.75" customHeight="1">
      <c r="A714" t="s">
        <v>80</v>
      </c>
      <c r="C714" s="4" t="s">
        <v>0</v>
      </c>
      <c r="D714" s="4" t="s">
        <v>1</v>
      </c>
      <c r="E714" s="4" t="s">
        <v>2</v>
      </c>
      <c r="F714" s="4" t="s">
        <v>3</v>
      </c>
      <c r="G714" s="4" t="s">
        <v>34</v>
      </c>
      <c r="H714" s="4" t="s">
        <v>20</v>
      </c>
      <c r="I714" s="4" t="s">
        <v>4</v>
      </c>
      <c r="J714" s="4" t="s">
        <v>110</v>
      </c>
      <c r="K714" s="4" t="s">
        <v>113</v>
      </c>
      <c r="L714" s="4" t="s">
        <v>30</v>
      </c>
      <c r="M714" s="4" t="s">
        <v>5</v>
      </c>
    </row>
    <row r="715" spans="2:13" ht="12.75" customHeight="1">
      <c r="B715" s="128" t="s">
        <v>18</v>
      </c>
      <c r="C715" s="6">
        <f aca="true" t="shared" si="140" ref="C715:M715">SUM(C440,C486,C532,C28,C74,C120,C166,C212,C258,C304,C350,C396)</f>
        <v>11512987.810000002</v>
      </c>
      <c r="D715" s="6">
        <f t="shared" si="140"/>
        <v>4235.839999999999</v>
      </c>
      <c r="E715" s="6">
        <f t="shared" si="140"/>
        <v>0</v>
      </c>
      <c r="F715" s="6">
        <f t="shared" si="140"/>
        <v>3631099.4500000007</v>
      </c>
      <c r="G715" s="6">
        <f t="shared" si="140"/>
        <v>872447.91</v>
      </c>
      <c r="H715" s="6">
        <f t="shared" si="140"/>
        <v>0</v>
      </c>
      <c r="I715" s="6">
        <f t="shared" si="140"/>
        <v>344237.26</v>
      </c>
      <c r="J715" s="6">
        <f t="shared" si="140"/>
        <v>0</v>
      </c>
      <c r="K715" s="6">
        <f t="shared" si="140"/>
        <v>0</v>
      </c>
      <c r="L715" s="6">
        <f t="shared" si="140"/>
        <v>0</v>
      </c>
      <c r="M715" s="6">
        <f t="shared" si="140"/>
        <v>0</v>
      </c>
    </row>
    <row r="716" spans="2:13" ht="12.75" customHeight="1">
      <c r="B716" s="128" t="s">
        <v>19</v>
      </c>
      <c r="C716" s="6">
        <f aca="true" t="shared" si="141" ref="C716:M716">SUM(C441,C487,C533,C29,C75,C121,C167,C213,C259,C305,C351,C397)</f>
        <v>10148195.68</v>
      </c>
      <c r="D716" s="6">
        <f t="shared" si="141"/>
        <v>1447886.83</v>
      </c>
      <c r="E716" s="6">
        <f t="shared" si="141"/>
        <v>2548456.6500000004</v>
      </c>
      <c r="F716" s="6">
        <f t="shared" si="141"/>
        <v>1642853.41</v>
      </c>
      <c r="G716" s="6">
        <f t="shared" si="141"/>
        <v>1421377.75</v>
      </c>
      <c r="H716" s="6">
        <f t="shared" si="141"/>
        <v>1959939.2899999998</v>
      </c>
      <c r="I716" s="6">
        <f t="shared" si="141"/>
        <v>1163235.03</v>
      </c>
      <c r="J716" s="6">
        <f t="shared" si="141"/>
        <v>0</v>
      </c>
      <c r="K716" s="6">
        <f t="shared" si="141"/>
        <v>21384.02</v>
      </c>
      <c r="L716" s="6">
        <f t="shared" si="141"/>
        <v>0</v>
      </c>
      <c r="M716" s="6">
        <f t="shared" si="141"/>
        <v>0</v>
      </c>
    </row>
    <row r="717" ht="12.75" customHeight="1"/>
    <row r="718" spans="3:15" ht="12.75" customHeight="1" thickBot="1">
      <c r="C718" s="24">
        <f aca="true" t="shared" si="142" ref="C718:M718">SUM(C715:C717)</f>
        <v>21661183.490000002</v>
      </c>
      <c r="D718" s="24">
        <f t="shared" si="142"/>
        <v>1452122.6700000002</v>
      </c>
      <c r="E718" s="24">
        <f t="shared" si="142"/>
        <v>2548456.6500000004</v>
      </c>
      <c r="F718" s="24">
        <f t="shared" si="142"/>
        <v>5273952.86</v>
      </c>
      <c r="G718" s="24">
        <f t="shared" si="142"/>
        <v>2293825.66</v>
      </c>
      <c r="H718" s="24">
        <f t="shared" si="142"/>
        <v>1959939.2899999998</v>
      </c>
      <c r="I718" s="24">
        <f t="shared" si="142"/>
        <v>1507472.29</v>
      </c>
      <c r="J718" s="24">
        <f>SUM(J715:J717)</f>
        <v>0</v>
      </c>
      <c r="K718" s="24">
        <f>SUM(K715:K717)</f>
        <v>21384.02</v>
      </c>
      <c r="L718" s="24">
        <f t="shared" si="142"/>
        <v>0</v>
      </c>
      <c r="M718" s="24">
        <f t="shared" si="142"/>
        <v>0</v>
      </c>
      <c r="O718" s="129">
        <f>SUM(C718:M718)</f>
        <v>36718336.93000001</v>
      </c>
    </row>
    <row r="719" ht="12.75" customHeight="1" thickTop="1"/>
    <row r="720" spans="1:13" ht="12.75" customHeight="1">
      <c r="A720" t="s">
        <v>94</v>
      </c>
      <c r="C720" s="4" t="s">
        <v>0</v>
      </c>
      <c r="D720" s="4" t="s">
        <v>1</v>
      </c>
      <c r="E720" s="4" t="s">
        <v>2</v>
      </c>
      <c r="F720" s="4" t="s">
        <v>3</v>
      </c>
      <c r="G720" s="4" t="s">
        <v>34</v>
      </c>
      <c r="H720" s="4" t="s">
        <v>20</v>
      </c>
      <c r="I720" s="4" t="s">
        <v>4</v>
      </c>
      <c r="J720" s="4" t="s">
        <v>110</v>
      </c>
      <c r="K720" s="4" t="s">
        <v>113</v>
      </c>
      <c r="L720" s="4" t="s">
        <v>30</v>
      </c>
      <c r="M720" s="4" t="s">
        <v>5</v>
      </c>
    </row>
    <row r="721" spans="2:13" ht="12.75" customHeight="1">
      <c r="B721" s="128" t="s">
        <v>18</v>
      </c>
      <c r="C721" s="6">
        <f aca="true" t="shared" si="143" ref="C721:M721">SUM(C442,C488,C534,C30,C76,C122,C168,C214,C260,C306,C352,C398)</f>
        <v>14210933.160000002</v>
      </c>
      <c r="D721" s="6">
        <f t="shared" si="143"/>
        <v>4271.57</v>
      </c>
      <c r="E721" s="6">
        <f t="shared" si="143"/>
        <v>0</v>
      </c>
      <c r="F721" s="6">
        <f t="shared" si="143"/>
        <v>4305966.1899999995</v>
      </c>
      <c r="G721" s="6">
        <f t="shared" si="143"/>
        <v>940816.87</v>
      </c>
      <c r="H721" s="6">
        <f t="shared" si="143"/>
        <v>0</v>
      </c>
      <c r="I721" s="6">
        <f t="shared" si="143"/>
        <v>347765.07</v>
      </c>
      <c r="J721" s="6">
        <f t="shared" si="143"/>
        <v>0</v>
      </c>
      <c r="K721" s="6">
        <f t="shared" si="143"/>
        <v>0</v>
      </c>
      <c r="L721" s="6">
        <f t="shared" si="143"/>
        <v>0</v>
      </c>
      <c r="M721" s="6">
        <f t="shared" si="143"/>
        <v>0</v>
      </c>
    </row>
    <row r="722" spans="2:13" ht="12.75" customHeight="1">
      <c r="B722" s="128" t="s">
        <v>19</v>
      </c>
      <c r="C722" s="6">
        <f aca="true" t="shared" si="144" ref="C722:M722">SUM(C443,C489,C535,C31,C77,C123,C169,C215,C261,C307,C353,C399)</f>
        <v>11479469.729999999</v>
      </c>
      <c r="D722" s="6">
        <f t="shared" si="144"/>
        <v>2003412.9400000002</v>
      </c>
      <c r="E722" s="6">
        <f t="shared" si="144"/>
        <v>2643276.61</v>
      </c>
      <c r="F722" s="6">
        <f t="shared" si="144"/>
        <v>1713214.8399999999</v>
      </c>
      <c r="G722" s="6">
        <f t="shared" si="144"/>
        <v>1423939.3100000003</v>
      </c>
      <c r="H722" s="6">
        <f t="shared" si="144"/>
        <v>2704375.9799999995</v>
      </c>
      <c r="I722" s="6">
        <f t="shared" si="144"/>
        <v>1454270.93</v>
      </c>
      <c r="J722" s="6">
        <f t="shared" si="144"/>
        <v>0</v>
      </c>
      <c r="K722" s="6">
        <f t="shared" si="144"/>
        <v>37698.57</v>
      </c>
      <c r="L722" s="6">
        <f t="shared" si="144"/>
        <v>0</v>
      </c>
      <c r="M722" s="6">
        <f t="shared" si="144"/>
        <v>0</v>
      </c>
    </row>
    <row r="723" ht="12.75" customHeight="1"/>
    <row r="724" spans="3:15" ht="12.75" customHeight="1" thickBot="1">
      <c r="C724" s="24">
        <f aca="true" t="shared" si="145" ref="C724:M724">SUM(C721:C723)</f>
        <v>25690402.89</v>
      </c>
      <c r="D724" s="24">
        <f t="shared" si="145"/>
        <v>2007684.5100000002</v>
      </c>
      <c r="E724" s="24">
        <f t="shared" si="145"/>
        <v>2643276.61</v>
      </c>
      <c r="F724" s="24">
        <f t="shared" si="145"/>
        <v>6019181.029999999</v>
      </c>
      <c r="G724" s="24">
        <f t="shared" si="145"/>
        <v>2364756.18</v>
      </c>
      <c r="H724" s="24">
        <f t="shared" si="145"/>
        <v>2704375.9799999995</v>
      </c>
      <c r="I724" s="24">
        <f t="shared" si="145"/>
        <v>1802036</v>
      </c>
      <c r="J724" s="24">
        <f>SUM(J721:J723)</f>
        <v>0</v>
      </c>
      <c r="K724" s="24">
        <f>SUM(K721:K723)</f>
        <v>37698.57</v>
      </c>
      <c r="L724" s="24">
        <f t="shared" si="145"/>
        <v>0</v>
      </c>
      <c r="M724" s="24">
        <f t="shared" si="145"/>
        <v>0</v>
      </c>
      <c r="O724" s="129">
        <f>SUM(C724:M724)</f>
        <v>43269411.769999996</v>
      </c>
    </row>
    <row r="725" ht="12.75" customHeight="1" thickTop="1"/>
    <row r="726" spans="1:13" ht="12.75" customHeight="1">
      <c r="A726" t="s">
        <v>106</v>
      </c>
      <c r="C726" s="4" t="s">
        <v>0</v>
      </c>
      <c r="D726" s="4" t="s">
        <v>1</v>
      </c>
      <c r="E726" s="4" t="s">
        <v>2</v>
      </c>
      <c r="F726" s="4" t="s">
        <v>3</v>
      </c>
      <c r="G726" s="4" t="s">
        <v>34</v>
      </c>
      <c r="H726" s="4" t="s">
        <v>20</v>
      </c>
      <c r="I726" s="4" t="s">
        <v>4</v>
      </c>
      <c r="J726" s="4" t="s">
        <v>110</v>
      </c>
      <c r="K726" s="4" t="s">
        <v>113</v>
      </c>
      <c r="L726" s="4" t="s">
        <v>30</v>
      </c>
      <c r="M726" s="4" t="s">
        <v>5</v>
      </c>
    </row>
    <row r="727" spans="2:13" ht="12.75" customHeight="1">
      <c r="B727" s="128" t="s">
        <v>18</v>
      </c>
      <c r="C727" s="6">
        <f aca="true" t="shared" si="146" ref="C727:M727">SUM(C444+C490+C536+C32+C78+C124+C170+C216+C262+C308+C354+C400)</f>
        <v>14612170.620000001</v>
      </c>
      <c r="D727" s="6">
        <f t="shared" si="146"/>
        <v>-5.28</v>
      </c>
      <c r="E727" s="6">
        <f t="shared" si="146"/>
        <v>0</v>
      </c>
      <c r="F727" s="6">
        <f t="shared" si="146"/>
        <v>4257458.3100000005</v>
      </c>
      <c r="G727" s="6">
        <f t="shared" si="146"/>
        <v>365449.63</v>
      </c>
      <c r="H727" s="6">
        <f t="shared" si="146"/>
        <v>0</v>
      </c>
      <c r="I727" s="6">
        <f t="shared" si="146"/>
        <v>468633.12</v>
      </c>
      <c r="J727" s="6">
        <f t="shared" si="146"/>
        <v>0</v>
      </c>
      <c r="K727" s="6">
        <f t="shared" si="146"/>
        <v>0</v>
      </c>
      <c r="L727" s="6">
        <f t="shared" si="146"/>
        <v>0</v>
      </c>
      <c r="M727" s="6">
        <f t="shared" si="146"/>
        <v>0</v>
      </c>
    </row>
    <row r="728" spans="2:15" ht="12.75" customHeight="1">
      <c r="B728" s="128" t="s">
        <v>19</v>
      </c>
      <c r="C728" s="6">
        <f aca="true" t="shared" si="147" ref="C728:M728">SUM(C445+C491+C537+C33+C79+C125+C171+C217+C263+C309+C355+C401)</f>
        <v>14732862.069999998</v>
      </c>
      <c r="D728" s="6">
        <f t="shared" si="147"/>
        <v>1998539.99</v>
      </c>
      <c r="E728" s="6">
        <f t="shared" si="147"/>
        <v>3220093.7</v>
      </c>
      <c r="F728" s="6">
        <f t="shared" si="147"/>
        <v>2019370.7300000002</v>
      </c>
      <c r="G728" s="6">
        <f t="shared" si="147"/>
        <v>1607396.84</v>
      </c>
      <c r="H728" s="6">
        <f t="shared" si="147"/>
        <v>3491818.090000001</v>
      </c>
      <c r="I728" s="6">
        <f t="shared" si="147"/>
        <v>1876715.0099999998</v>
      </c>
      <c r="J728" s="6">
        <f t="shared" si="147"/>
        <v>129658.39</v>
      </c>
      <c r="K728" s="6">
        <f t="shared" si="147"/>
        <v>62784.280000000006</v>
      </c>
      <c r="L728" s="6">
        <f t="shared" si="147"/>
        <v>0</v>
      </c>
      <c r="M728" s="6">
        <f t="shared" si="147"/>
        <v>0</v>
      </c>
      <c r="O728" s="6"/>
    </row>
    <row r="729" ht="12.75" customHeight="1"/>
    <row r="730" spans="3:15" ht="12.75" customHeight="1" thickBot="1">
      <c r="C730" s="24">
        <f>SUM(C727:C729)</f>
        <v>29345032.689999998</v>
      </c>
      <c r="D730" s="24">
        <f aca="true" t="shared" si="148" ref="D730:M730">SUM(D727:D729)</f>
        <v>1998534.71</v>
      </c>
      <c r="E730" s="24">
        <f t="shared" si="148"/>
        <v>3220093.7</v>
      </c>
      <c r="F730" s="24">
        <f t="shared" si="148"/>
        <v>6276829.040000001</v>
      </c>
      <c r="G730" s="24">
        <f t="shared" si="148"/>
        <v>1972846.4700000002</v>
      </c>
      <c r="H730" s="24">
        <f t="shared" si="148"/>
        <v>3491818.090000001</v>
      </c>
      <c r="I730" s="24">
        <f t="shared" si="148"/>
        <v>2345348.13</v>
      </c>
      <c r="J730" s="24">
        <f t="shared" si="148"/>
        <v>129658.39</v>
      </c>
      <c r="K730" s="24">
        <f>SUM(K727:K729)</f>
        <v>62784.280000000006</v>
      </c>
      <c r="L730" s="24">
        <f t="shared" si="148"/>
        <v>0</v>
      </c>
      <c r="M730" s="24">
        <f t="shared" si="148"/>
        <v>0</v>
      </c>
      <c r="O730" s="129">
        <f>SUM(C730:N730)</f>
        <v>48842945.50000001</v>
      </c>
    </row>
    <row r="731" ht="12.75" customHeight="1" thickTop="1"/>
    <row r="732" spans="1:13" ht="12.75" customHeight="1">
      <c r="A732" t="s">
        <v>111</v>
      </c>
      <c r="C732" s="4" t="s">
        <v>0</v>
      </c>
      <c r="D732" s="4" t="s">
        <v>1</v>
      </c>
      <c r="E732" s="4" t="s">
        <v>2</v>
      </c>
      <c r="F732" s="4" t="s">
        <v>3</v>
      </c>
      <c r="G732" s="4" t="s">
        <v>34</v>
      </c>
      <c r="H732" s="4" t="s">
        <v>20</v>
      </c>
      <c r="I732" s="4" t="s">
        <v>4</v>
      </c>
      <c r="J732" s="4" t="s">
        <v>110</v>
      </c>
      <c r="K732" s="4" t="s">
        <v>113</v>
      </c>
      <c r="L732" s="4" t="s">
        <v>30</v>
      </c>
      <c r="M732" s="4" t="s">
        <v>5</v>
      </c>
    </row>
    <row r="733" spans="2:13" ht="12.75" customHeight="1">
      <c r="B733" s="128" t="s">
        <v>18</v>
      </c>
      <c r="C733" s="6">
        <f aca="true" t="shared" si="149" ref="C733:M733">SUM(C446+C492+C538+C34+C80+C126+C172+C218+C264+C310+C356+C402)</f>
        <v>16999915.39</v>
      </c>
      <c r="D733" s="6">
        <f t="shared" si="149"/>
        <v>0</v>
      </c>
      <c r="E733" s="6">
        <f t="shared" si="149"/>
        <v>0</v>
      </c>
      <c r="F733" s="6">
        <f t="shared" si="149"/>
        <v>3277718.16</v>
      </c>
      <c r="G733" s="6">
        <f t="shared" si="149"/>
        <v>449379.44999999995</v>
      </c>
      <c r="H733" s="6">
        <f t="shared" si="149"/>
        <v>0</v>
      </c>
      <c r="I733" s="6">
        <f t="shared" si="149"/>
        <v>453226.71</v>
      </c>
      <c r="J733" s="6">
        <f t="shared" si="149"/>
        <v>0</v>
      </c>
      <c r="K733" s="6">
        <f t="shared" si="149"/>
        <v>0</v>
      </c>
      <c r="L733" s="6">
        <f t="shared" si="149"/>
        <v>0</v>
      </c>
      <c r="M733" s="6">
        <f t="shared" si="149"/>
        <v>0</v>
      </c>
    </row>
    <row r="734" spans="2:15" ht="12.75" customHeight="1">
      <c r="B734" s="128" t="s">
        <v>19</v>
      </c>
      <c r="C734" s="6">
        <f aca="true" t="shared" si="150" ref="C734:M734">SUM(C447+C493+C539+C35+C81+C127+C173+C219+C265+C311+C357+C403)</f>
        <v>16325399.52</v>
      </c>
      <c r="D734" s="6">
        <f t="shared" si="150"/>
        <v>2390909.3699999996</v>
      </c>
      <c r="E734" s="6">
        <f t="shared" si="150"/>
        <v>3626615.47</v>
      </c>
      <c r="F734" s="6">
        <f t="shared" si="150"/>
        <v>2784017.29</v>
      </c>
      <c r="G734" s="6">
        <f t="shared" si="150"/>
        <v>1719143.43</v>
      </c>
      <c r="H734" s="6">
        <f t="shared" si="150"/>
        <v>3803881.9499999997</v>
      </c>
      <c r="I734" s="6">
        <f t="shared" si="150"/>
        <v>2318126.76</v>
      </c>
      <c r="J734" s="6">
        <f t="shared" si="150"/>
        <v>935494.9200000002</v>
      </c>
      <c r="K734" s="6">
        <f t="shared" si="150"/>
        <v>56783.34</v>
      </c>
      <c r="L734" s="6">
        <f t="shared" si="150"/>
        <v>0</v>
      </c>
      <c r="M734" s="6">
        <f t="shared" si="150"/>
        <v>0</v>
      </c>
      <c r="O734" s="6"/>
    </row>
    <row r="735" ht="12.75" customHeight="1"/>
    <row r="736" spans="3:15" ht="12.75" customHeight="1" thickBot="1">
      <c r="C736" s="24">
        <f aca="true" t="shared" si="151" ref="C736:M736">SUM(C733:C735)</f>
        <v>33325314.91</v>
      </c>
      <c r="D736" s="24">
        <f t="shared" si="151"/>
        <v>2390909.3699999996</v>
      </c>
      <c r="E736" s="24">
        <f t="shared" si="151"/>
        <v>3626615.47</v>
      </c>
      <c r="F736" s="24">
        <f t="shared" si="151"/>
        <v>6061735.45</v>
      </c>
      <c r="G736" s="24">
        <f t="shared" si="151"/>
        <v>2168522.88</v>
      </c>
      <c r="H736" s="24">
        <f t="shared" si="151"/>
        <v>3803881.9499999997</v>
      </c>
      <c r="I736" s="24">
        <f t="shared" si="151"/>
        <v>2771353.4699999997</v>
      </c>
      <c r="J736" s="24">
        <f t="shared" si="151"/>
        <v>935494.9200000002</v>
      </c>
      <c r="K736" s="24">
        <f t="shared" si="151"/>
        <v>56783.34</v>
      </c>
      <c r="L736" s="24">
        <f t="shared" si="151"/>
        <v>0</v>
      </c>
      <c r="M736" s="24">
        <f t="shared" si="151"/>
        <v>0</v>
      </c>
      <c r="O736" s="129">
        <f>SUM(C736:N736)</f>
        <v>55140611.76000001</v>
      </c>
    </row>
    <row r="737" ht="12.75" customHeight="1" thickTop="1"/>
    <row r="738" spans="1:13" ht="12.75" customHeight="1">
      <c r="A738" t="s">
        <v>114</v>
      </c>
      <c r="C738" s="4" t="s">
        <v>0</v>
      </c>
      <c r="D738" s="4" t="s">
        <v>1</v>
      </c>
      <c r="E738" s="4" t="s">
        <v>2</v>
      </c>
      <c r="F738" s="4" t="s">
        <v>3</v>
      </c>
      <c r="G738" s="4" t="s">
        <v>34</v>
      </c>
      <c r="H738" s="4" t="s">
        <v>20</v>
      </c>
      <c r="I738" s="4" t="s">
        <v>4</v>
      </c>
      <c r="J738" s="4" t="s">
        <v>110</v>
      </c>
      <c r="K738" s="4" t="s">
        <v>113</v>
      </c>
      <c r="L738" s="4" t="s">
        <v>30</v>
      </c>
      <c r="M738" s="4" t="s">
        <v>5</v>
      </c>
    </row>
    <row r="739" spans="2:13" ht="12.75" customHeight="1">
      <c r="B739" s="128" t="s">
        <v>18</v>
      </c>
      <c r="C739" s="6">
        <f aca="true" t="shared" si="152" ref="C739:M739">SUM(C448+C494+C540+C36+C82+C128+C174+C220+C266+C312+C358+C404)</f>
        <v>12459706.65</v>
      </c>
      <c r="D739" s="6">
        <f t="shared" si="152"/>
        <v>0</v>
      </c>
      <c r="E739" s="6">
        <f t="shared" si="152"/>
        <v>0</v>
      </c>
      <c r="F739" s="6">
        <f t="shared" si="152"/>
        <v>2158683.12</v>
      </c>
      <c r="G739" s="6">
        <f t="shared" si="152"/>
        <v>510915.31</v>
      </c>
      <c r="H739" s="6">
        <f t="shared" si="152"/>
        <v>0</v>
      </c>
      <c r="I739" s="6">
        <f t="shared" si="152"/>
        <v>360947.85000000003</v>
      </c>
      <c r="J739" s="6">
        <f t="shared" si="152"/>
        <v>0</v>
      </c>
      <c r="K739" s="6">
        <f t="shared" si="152"/>
        <v>0</v>
      </c>
      <c r="L739" s="6">
        <f t="shared" si="152"/>
        <v>0</v>
      </c>
      <c r="M739" s="6">
        <f t="shared" si="152"/>
        <v>0</v>
      </c>
    </row>
    <row r="740" spans="2:15" ht="12.75" customHeight="1">
      <c r="B740" s="128" t="s">
        <v>19</v>
      </c>
      <c r="C740" s="6">
        <f aca="true" t="shared" si="153" ref="C740:M740">SUM(C449+C495+C541+C37+C83+C129+C175+C221+C267+C313+C359+C405)</f>
        <v>18950832.86</v>
      </c>
      <c r="D740" s="6">
        <f t="shared" si="153"/>
        <v>2427044.4300000006</v>
      </c>
      <c r="E740" s="6">
        <f t="shared" si="153"/>
        <v>3807775.870000001</v>
      </c>
      <c r="F740" s="6">
        <f t="shared" si="153"/>
        <v>3053767.4799999995</v>
      </c>
      <c r="G740" s="6">
        <f t="shared" si="153"/>
        <v>1919696.62</v>
      </c>
      <c r="H740" s="6">
        <f t="shared" si="153"/>
        <v>4185743.619999999</v>
      </c>
      <c r="I740" s="6">
        <f t="shared" si="153"/>
        <v>2770424.48</v>
      </c>
      <c r="J740" s="6">
        <f t="shared" si="153"/>
        <v>1025030.5800000001</v>
      </c>
      <c r="K740" s="6">
        <f t="shared" si="153"/>
        <v>41807.369999999995</v>
      </c>
      <c r="L740" s="6">
        <f t="shared" si="153"/>
        <v>0</v>
      </c>
      <c r="M740" s="6">
        <f t="shared" si="153"/>
        <v>0</v>
      </c>
      <c r="O740" s="6"/>
    </row>
    <row r="741" ht="12.75" customHeight="1"/>
    <row r="742" spans="3:15" ht="12.75" customHeight="1" thickBot="1">
      <c r="C742" s="24">
        <f aca="true" t="shared" si="154" ref="C742:M742">SUM(C739:C741)</f>
        <v>31410539.509999998</v>
      </c>
      <c r="D742" s="24">
        <f t="shared" si="154"/>
        <v>2427044.4300000006</v>
      </c>
      <c r="E742" s="24">
        <f t="shared" si="154"/>
        <v>3807775.870000001</v>
      </c>
      <c r="F742" s="24">
        <f t="shared" si="154"/>
        <v>5212450.6</v>
      </c>
      <c r="G742" s="24">
        <f t="shared" si="154"/>
        <v>2430611.93</v>
      </c>
      <c r="H742" s="24">
        <f t="shared" si="154"/>
        <v>4185743.619999999</v>
      </c>
      <c r="I742" s="24">
        <f t="shared" si="154"/>
        <v>3131372.33</v>
      </c>
      <c r="J742" s="24">
        <f t="shared" si="154"/>
        <v>1025030.5800000001</v>
      </c>
      <c r="K742" s="24">
        <f t="shared" si="154"/>
        <v>41807.369999999995</v>
      </c>
      <c r="L742" s="24">
        <f t="shared" si="154"/>
        <v>0</v>
      </c>
      <c r="M742" s="24">
        <f t="shared" si="154"/>
        <v>0</v>
      </c>
      <c r="O742" s="129">
        <f>SUM(C742:N742)</f>
        <v>53672376.239999995</v>
      </c>
    </row>
    <row r="743" ht="12.75" customHeight="1" thickTop="1"/>
    <row r="744" spans="1:13" ht="12.75" customHeight="1">
      <c r="A744" t="s">
        <v>116</v>
      </c>
      <c r="C744" s="4" t="s">
        <v>0</v>
      </c>
      <c r="D744" s="4" t="s">
        <v>1</v>
      </c>
      <c r="E744" s="4" t="s">
        <v>2</v>
      </c>
      <c r="F744" s="4" t="s">
        <v>3</v>
      </c>
      <c r="G744" s="4" t="s">
        <v>34</v>
      </c>
      <c r="H744" s="4" t="s">
        <v>20</v>
      </c>
      <c r="I744" s="4" t="s">
        <v>4</v>
      </c>
      <c r="J744" s="4" t="s">
        <v>110</v>
      </c>
      <c r="K744" s="4" t="s">
        <v>113</v>
      </c>
      <c r="L744" s="4" t="s">
        <v>30</v>
      </c>
      <c r="M744" s="4" t="s">
        <v>5</v>
      </c>
    </row>
    <row r="745" spans="2:13" ht="12.75" customHeight="1">
      <c r="B745" s="128" t="s">
        <v>18</v>
      </c>
      <c r="C745" s="6">
        <f aca="true" t="shared" si="155" ref="C745:M745">SUM(C450+C496+C542+C38+C84+C130+C176+C222+C268+C314+C360+C406)</f>
        <v>11266738.78</v>
      </c>
      <c r="D745" s="6">
        <f t="shared" si="155"/>
        <v>0</v>
      </c>
      <c r="E745" s="6">
        <f t="shared" si="155"/>
        <v>0</v>
      </c>
      <c r="F745" s="6">
        <f t="shared" si="155"/>
        <v>1834561.8699999999</v>
      </c>
      <c r="G745" s="6">
        <f t="shared" si="155"/>
        <v>675134.7200000001</v>
      </c>
      <c r="H745" s="6">
        <f t="shared" si="155"/>
        <v>0</v>
      </c>
      <c r="I745" s="6">
        <f t="shared" si="155"/>
        <v>387608.01</v>
      </c>
      <c r="J745" s="6">
        <f t="shared" si="155"/>
        <v>0</v>
      </c>
      <c r="K745" s="6">
        <f t="shared" si="155"/>
        <v>0</v>
      </c>
      <c r="L745" s="6">
        <f t="shared" si="155"/>
        <v>0</v>
      </c>
      <c r="M745" s="6">
        <f t="shared" si="155"/>
        <v>0</v>
      </c>
    </row>
    <row r="746" spans="2:15" ht="12.75" customHeight="1">
      <c r="B746" s="128" t="s">
        <v>19</v>
      </c>
      <c r="C746" s="6">
        <f aca="true" t="shared" si="156" ref="C746:M746">SUM(C451+C497+C543+C39+C85+C131+C177+C223+C269+C315+C361+C407)</f>
        <v>22528692.650000002</v>
      </c>
      <c r="D746" s="6">
        <f t="shared" si="156"/>
        <v>2975315</v>
      </c>
      <c r="E746" s="6">
        <f t="shared" si="156"/>
        <v>4092275.96</v>
      </c>
      <c r="F746" s="6">
        <f t="shared" si="156"/>
        <v>2793254.86</v>
      </c>
      <c r="G746" s="6">
        <f t="shared" si="156"/>
        <v>2050458.1500000001</v>
      </c>
      <c r="H746" s="6">
        <f t="shared" si="156"/>
        <v>5225889.05</v>
      </c>
      <c r="I746" s="6">
        <f t="shared" si="156"/>
        <v>3201186.84</v>
      </c>
      <c r="J746" s="6">
        <f t="shared" si="156"/>
        <v>1665250.37</v>
      </c>
      <c r="K746" s="6">
        <f t="shared" si="156"/>
        <v>45738.810000000005</v>
      </c>
      <c r="L746" s="6">
        <f t="shared" si="156"/>
        <v>0</v>
      </c>
      <c r="M746" s="6">
        <f t="shared" si="156"/>
        <v>0</v>
      </c>
      <c r="O746" s="6"/>
    </row>
    <row r="747" ht="12.75" customHeight="1"/>
    <row r="748" spans="3:15" ht="12.75" customHeight="1" thickBot="1">
      <c r="C748" s="24">
        <f aca="true" t="shared" si="157" ref="C748:M748">SUM(C745:C747)</f>
        <v>33795431.43</v>
      </c>
      <c r="D748" s="24">
        <f t="shared" si="157"/>
        <v>2975315</v>
      </c>
      <c r="E748" s="24">
        <f t="shared" si="157"/>
        <v>4092275.96</v>
      </c>
      <c r="F748" s="24">
        <f t="shared" si="157"/>
        <v>4627816.7299999995</v>
      </c>
      <c r="G748" s="24">
        <f t="shared" si="157"/>
        <v>2725592.87</v>
      </c>
      <c r="H748" s="24">
        <f t="shared" si="157"/>
        <v>5225889.05</v>
      </c>
      <c r="I748" s="24">
        <f t="shared" si="157"/>
        <v>3588794.8499999996</v>
      </c>
      <c r="J748" s="24">
        <f t="shared" si="157"/>
        <v>1665250.37</v>
      </c>
      <c r="K748" s="24">
        <f t="shared" si="157"/>
        <v>45738.810000000005</v>
      </c>
      <c r="L748" s="24">
        <f t="shared" si="157"/>
        <v>0</v>
      </c>
      <c r="M748" s="24">
        <f t="shared" si="157"/>
        <v>0</v>
      </c>
      <c r="O748" s="129">
        <f>SUM(C748:N748)</f>
        <v>58742105.06999999</v>
      </c>
    </row>
    <row r="749" ht="12.75" customHeight="1" thickTop="1"/>
    <row r="750" spans="1:13" ht="12.75" customHeight="1">
      <c r="A750" t="s">
        <v>125</v>
      </c>
      <c r="C750" s="4" t="s">
        <v>0</v>
      </c>
      <c r="D750" s="4" t="s">
        <v>1</v>
      </c>
      <c r="E750" s="4" t="s">
        <v>2</v>
      </c>
      <c r="F750" s="4" t="s">
        <v>3</v>
      </c>
      <c r="G750" s="4" t="s">
        <v>34</v>
      </c>
      <c r="H750" s="4" t="s">
        <v>20</v>
      </c>
      <c r="I750" s="4" t="s">
        <v>4</v>
      </c>
      <c r="J750" s="4" t="s">
        <v>110</v>
      </c>
      <c r="K750" s="4" t="s">
        <v>113</v>
      </c>
      <c r="L750" s="4" t="s">
        <v>30</v>
      </c>
      <c r="M750" s="4" t="s">
        <v>5</v>
      </c>
    </row>
    <row r="751" spans="2:13" ht="12.75" customHeight="1">
      <c r="B751" s="128" t="s">
        <v>18</v>
      </c>
      <c r="C751" s="6">
        <f aca="true" t="shared" si="158" ref="C751:M751">SUM(C452+C498+C544+C40+C86+C132+C178+C224+C270+C316+C362+C408)</f>
        <v>10440409.55999999</v>
      </c>
      <c r="D751" s="6">
        <f t="shared" si="158"/>
        <v>0</v>
      </c>
      <c r="E751" s="6">
        <f t="shared" si="158"/>
        <v>0</v>
      </c>
      <c r="F751" s="6">
        <f t="shared" si="158"/>
        <v>720944.8940000001</v>
      </c>
      <c r="G751" s="6">
        <f t="shared" si="158"/>
        <v>161578.41999999998</v>
      </c>
      <c r="H751" s="6">
        <f t="shared" si="158"/>
        <v>0</v>
      </c>
      <c r="I751" s="6">
        <f t="shared" si="158"/>
        <v>294718.95999999996</v>
      </c>
      <c r="J751" s="6">
        <f t="shared" si="158"/>
        <v>0</v>
      </c>
      <c r="K751" s="6">
        <f t="shared" si="158"/>
        <v>0</v>
      </c>
      <c r="L751" s="6">
        <f t="shared" si="158"/>
        <v>0</v>
      </c>
      <c r="M751" s="6">
        <f t="shared" si="158"/>
        <v>0</v>
      </c>
    </row>
    <row r="752" spans="2:13" ht="12.75" customHeight="1">
      <c r="B752" s="128" t="s">
        <v>19</v>
      </c>
      <c r="C752" s="6">
        <f aca="true" t="shared" si="159" ref="C752:M752">SUM(C453+C499+C545+C41+C87+C133+C179+C225+C271+C317+C363+C409)</f>
        <v>23018291.36</v>
      </c>
      <c r="D752" s="6">
        <f t="shared" si="159"/>
        <v>2534976.2699999996</v>
      </c>
      <c r="E752" s="6">
        <f t="shared" si="159"/>
        <v>3421323.41</v>
      </c>
      <c r="F752" s="6">
        <f t="shared" si="159"/>
        <v>3293308.1899999995</v>
      </c>
      <c r="G752" s="6">
        <f t="shared" si="159"/>
        <v>2604637.59</v>
      </c>
      <c r="H752" s="6">
        <f t="shared" si="159"/>
        <v>7601900.670000001</v>
      </c>
      <c r="I752" s="6">
        <f t="shared" si="159"/>
        <v>3063117.99</v>
      </c>
      <c r="J752" s="6">
        <f t="shared" si="159"/>
        <v>1691005.74</v>
      </c>
      <c r="K752" s="6">
        <f t="shared" si="159"/>
        <v>50891</v>
      </c>
      <c r="L752" s="6">
        <f t="shared" si="159"/>
        <v>0</v>
      </c>
      <c r="M752" s="6">
        <f t="shared" si="159"/>
        <v>0</v>
      </c>
    </row>
    <row r="753" ht="12.75" customHeight="1"/>
    <row r="754" spans="3:15" ht="12.75" customHeight="1" thickBot="1">
      <c r="C754" s="24">
        <f>SUM(C751:C753)</f>
        <v>33458700.919999987</v>
      </c>
      <c r="D754" s="24">
        <f aca="true" t="shared" si="160" ref="D754:M754">SUM(D751:D753)</f>
        <v>2534976.2699999996</v>
      </c>
      <c r="E754" s="24">
        <f t="shared" si="160"/>
        <v>3421323.41</v>
      </c>
      <c r="F754" s="24">
        <f t="shared" si="160"/>
        <v>4014253.084</v>
      </c>
      <c r="G754" s="24">
        <f t="shared" si="160"/>
        <v>2766216.01</v>
      </c>
      <c r="H754" s="24">
        <f t="shared" si="160"/>
        <v>7601900.670000001</v>
      </c>
      <c r="I754" s="24">
        <f t="shared" si="160"/>
        <v>3357836.95</v>
      </c>
      <c r="J754" s="24">
        <f t="shared" si="160"/>
        <v>1691005.74</v>
      </c>
      <c r="K754" s="24">
        <f t="shared" si="160"/>
        <v>50891</v>
      </c>
      <c r="L754" s="24">
        <f t="shared" si="160"/>
        <v>0</v>
      </c>
      <c r="M754" s="24">
        <f t="shared" si="160"/>
        <v>0</v>
      </c>
      <c r="O754" s="129">
        <f>SUM(C754:N754)</f>
        <v>58897104.05399998</v>
      </c>
    </row>
    <row r="755" ht="12.75" customHeight="1" thickTop="1">
      <c r="A755" s="17" t="s">
        <v>141</v>
      </c>
    </row>
    <row r="756" spans="3:13" ht="12.75" customHeight="1">
      <c r="C756" s="4" t="s">
        <v>0</v>
      </c>
      <c r="D756" s="4" t="s">
        <v>1</v>
      </c>
      <c r="E756" s="4" t="s">
        <v>2</v>
      </c>
      <c r="F756" s="4" t="s">
        <v>3</v>
      </c>
      <c r="G756" s="4" t="s">
        <v>34</v>
      </c>
      <c r="H756" s="4" t="s">
        <v>20</v>
      </c>
      <c r="I756" s="4" t="s">
        <v>4</v>
      </c>
      <c r="J756" s="4" t="s">
        <v>110</v>
      </c>
      <c r="K756" s="4" t="s">
        <v>113</v>
      </c>
      <c r="L756" s="4" t="s">
        <v>30</v>
      </c>
      <c r="M756" s="4" t="s">
        <v>5</v>
      </c>
    </row>
    <row r="757" spans="2:13" ht="12.75" customHeight="1">
      <c r="B757" s="128" t="s">
        <v>18</v>
      </c>
      <c r="C757" s="6">
        <f aca="true" t="shared" si="161" ref="C757:M757">C454+C500+C546+C42+C88+C134+C180+C226+C272+C318+C364+C410</f>
        <v>9232710.34999998</v>
      </c>
      <c r="D757" s="6">
        <f t="shared" si="161"/>
        <v>0</v>
      </c>
      <c r="E757" s="6">
        <f t="shared" si="161"/>
        <v>0</v>
      </c>
      <c r="F757" s="6">
        <f t="shared" si="161"/>
        <v>1258521.86</v>
      </c>
      <c r="G757" s="6">
        <f t="shared" si="161"/>
        <v>318078.65</v>
      </c>
      <c r="H757" s="6">
        <f t="shared" si="161"/>
        <v>0</v>
      </c>
      <c r="I757" s="6">
        <f t="shared" si="161"/>
        <v>49727.96</v>
      </c>
      <c r="J757" s="6">
        <f t="shared" si="161"/>
        <v>0</v>
      </c>
      <c r="K757" s="6">
        <f t="shared" si="161"/>
        <v>0</v>
      </c>
      <c r="L757" s="6">
        <f t="shared" si="161"/>
        <v>0</v>
      </c>
      <c r="M757" s="6">
        <f t="shared" si="161"/>
        <v>0</v>
      </c>
    </row>
    <row r="758" spans="2:13" ht="12.75" customHeight="1">
      <c r="B758" s="128" t="s">
        <v>19</v>
      </c>
      <c r="C758" s="6">
        <f aca="true" t="shared" si="162" ref="C758:M758">C455+C501+C547+C43+C89+C135+C181+C227+C273+C319+C365+C411</f>
        <v>26247672.90999998</v>
      </c>
      <c r="D758" s="6">
        <f t="shared" si="162"/>
        <v>3471857.2699999996</v>
      </c>
      <c r="E758" s="6">
        <f t="shared" si="162"/>
        <v>4575399.890000001</v>
      </c>
      <c r="F758" s="6">
        <f t="shared" si="162"/>
        <v>1983672.4400000002</v>
      </c>
      <c r="G758" s="6">
        <f t="shared" si="162"/>
        <v>2120081.41</v>
      </c>
      <c r="H758" s="6">
        <f t="shared" si="162"/>
        <v>7481955.75</v>
      </c>
      <c r="I758" s="6">
        <f t="shared" si="162"/>
        <v>4008083.8800000004</v>
      </c>
      <c r="J758" s="6">
        <f t="shared" si="162"/>
        <v>1426376.4300000002</v>
      </c>
      <c r="K758" s="6">
        <f t="shared" si="162"/>
        <v>39881.43000000001</v>
      </c>
      <c r="L758" s="6">
        <f t="shared" si="162"/>
        <v>0</v>
      </c>
      <c r="M758" s="6">
        <f t="shared" si="162"/>
        <v>0</v>
      </c>
    </row>
    <row r="759" ht="12.75" customHeight="1"/>
    <row r="760" spans="3:15" ht="12.75" customHeight="1" thickBot="1">
      <c r="C760" s="24">
        <f>C757+C758</f>
        <v>35480383.25999996</v>
      </c>
      <c r="D760" s="24">
        <f aca="true" t="shared" si="163" ref="D760:M760">D757+D758</f>
        <v>3471857.2699999996</v>
      </c>
      <c r="E760" s="24">
        <f t="shared" si="163"/>
        <v>4575399.890000001</v>
      </c>
      <c r="F760" s="24">
        <f t="shared" si="163"/>
        <v>3242194.3000000003</v>
      </c>
      <c r="G760" s="24">
        <f t="shared" si="163"/>
        <v>2438160.06</v>
      </c>
      <c r="H760" s="24">
        <f t="shared" si="163"/>
        <v>7481955.75</v>
      </c>
      <c r="I760" s="24">
        <f t="shared" si="163"/>
        <v>4057811.8400000003</v>
      </c>
      <c r="J760" s="24">
        <f t="shared" si="163"/>
        <v>1426376.4300000002</v>
      </c>
      <c r="K760" s="24">
        <f t="shared" si="163"/>
        <v>39881.43000000001</v>
      </c>
      <c r="L760" s="24">
        <f t="shared" si="163"/>
        <v>0</v>
      </c>
      <c r="M760" s="24">
        <f t="shared" si="163"/>
        <v>0</v>
      </c>
      <c r="O760" s="129">
        <f>SUM(C760:N760)</f>
        <v>62214020.22999996</v>
      </c>
    </row>
    <row r="761" ht="12.75" customHeight="1" thickTop="1">
      <c r="A761" s="17" t="s">
        <v>168</v>
      </c>
    </row>
    <row r="762" spans="3:13" ht="12.75" customHeight="1">
      <c r="C762" s="4" t="s">
        <v>0</v>
      </c>
      <c r="D762" s="4" t="s">
        <v>1</v>
      </c>
      <c r="E762" s="4" t="s">
        <v>2</v>
      </c>
      <c r="F762" s="4" t="s">
        <v>3</v>
      </c>
      <c r="G762" s="4" t="s">
        <v>34</v>
      </c>
      <c r="H762" s="4" t="s">
        <v>20</v>
      </c>
      <c r="I762" s="4" t="s">
        <v>4</v>
      </c>
      <c r="J762" s="4" t="s">
        <v>110</v>
      </c>
      <c r="K762" s="4" t="s">
        <v>113</v>
      </c>
      <c r="L762" s="4" t="s">
        <v>30</v>
      </c>
      <c r="M762" s="4" t="s">
        <v>5</v>
      </c>
    </row>
    <row r="763" spans="2:13" ht="12.75" customHeight="1">
      <c r="B763" s="128" t="s">
        <v>18</v>
      </c>
      <c r="C763" s="6">
        <f aca="true" t="shared" si="164" ref="C763:M763">C456+C502+C548+C44+C90+C136+C182+C228+C274+C320+C366+C412</f>
        <v>9526885.319999995</v>
      </c>
      <c r="D763" s="6">
        <f t="shared" si="164"/>
        <v>0</v>
      </c>
      <c r="E763" s="6">
        <f t="shared" si="164"/>
        <v>0</v>
      </c>
      <c r="F763" s="6">
        <f t="shared" si="164"/>
        <v>731892.16</v>
      </c>
      <c r="G763" s="6">
        <f t="shared" si="164"/>
        <v>604830.0400000002</v>
      </c>
      <c r="H763" s="6">
        <f t="shared" si="164"/>
        <v>0</v>
      </c>
      <c r="I763" s="6">
        <f t="shared" si="164"/>
        <v>488943.91000000003</v>
      </c>
      <c r="J763" s="6">
        <f t="shared" si="164"/>
        <v>0</v>
      </c>
      <c r="K763" s="6">
        <f t="shared" si="164"/>
        <v>0</v>
      </c>
      <c r="L763" s="6">
        <f t="shared" si="164"/>
        <v>0</v>
      </c>
      <c r="M763" s="6">
        <f t="shared" si="164"/>
        <v>0</v>
      </c>
    </row>
    <row r="764" spans="2:13" ht="12.75" customHeight="1">
      <c r="B764" s="128" t="s">
        <v>19</v>
      </c>
      <c r="C764" s="6">
        <f aca="true" t="shared" si="165" ref="C764:M764">C457+C503+C549+C45+C91+C137+C183+C229+C275+C321+C367+C413</f>
        <v>28462976.939999994</v>
      </c>
      <c r="D764" s="6">
        <f t="shared" si="165"/>
        <v>3618862.7600000007</v>
      </c>
      <c r="E764" s="6">
        <f t="shared" si="165"/>
        <v>5427012.97</v>
      </c>
      <c r="F764" s="6">
        <f t="shared" si="165"/>
        <v>2864141.71</v>
      </c>
      <c r="G764" s="6">
        <f t="shared" si="165"/>
        <v>1992599.4000000001</v>
      </c>
      <c r="H764" s="6">
        <f t="shared" si="165"/>
        <v>8099604.24</v>
      </c>
      <c r="I764" s="6">
        <f t="shared" si="165"/>
        <v>4305644.909999999</v>
      </c>
      <c r="J764" s="6">
        <f t="shared" si="165"/>
        <v>1226365.7600000002</v>
      </c>
      <c r="K764" s="6">
        <f t="shared" si="165"/>
        <v>56806.53</v>
      </c>
      <c r="L764" s="6">
        <f t="shared" si="165"/>
        <v>0</v>
      </c>
      <c r="M764" s="6">
        <f t="shared" si="165"/>
        <v>0</v>
      </c>
    </row>
    <row r="765" ht="12.75" customHeight="1"/>
    <row r="766" spans="3:15" ht="12.75" customHeight="1" thickBot="1">
      <c r="C766" s="24">
        <f>C763+C764</f>
        <v>37989862.25999999</v>
      </c>
      <c r="D766" s="24">
        <f aca="true" t="shared" si="166" ref="D766:M766">D763+D764</f>
        <v>3618862.7600000007</v>
      </c>
      <c r="E766" s="24">
        <f t="shared" si="166"/>
        <v>5427012.97</v>
      </c>
      <c r="F766" s="24">
        <f t="shared" si="166"/>
        <v>3596033.87</v>
      </c>
      <c r="G766" s="24">
        <f t="shared" si="166"/>
        <v>2597429.4400000004</v>
      </c>
      <c r="H766" s="24">
        <f t="shared" si="166"/>
        <v>8099604.24</v>
      </c>
      <c r="I766" s="24">
        <f t="shared" si="166"/>
        <v>4794588.819999999</v>
      </c>
      <c r="J766" s="24">
        <f t="shared" si="166"/>
        <v>1226365.7600000002</v>
      </c>
      <c r="K766" s="24">
        <f t="shared" si="166"/>
        <v>56806.53</v>
      </c>
      <c r="L766" s="24">
        <f t="shared" si="166"/>
        <v>0</v>
      </c>
      <c r="M766" s="24">
        <f t="shared" si="166"/>
        <v>0</v>
      </c>
      <c r="O766" s="129">
        <f>SUM(C766:N766)</f>
        <v>67406566.64999999</v>
      </c>
    </row>
    <row r="767" spans="3:13" ht="12.75" customHeight="1" thickTop="1"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</row>
    <row r="768" ht="12.75" customHeight="1">
      <c r="A768" s="17" t="s">
        <v>169</v>
      </c>
    </row>
    <row r="769" spans="3:13" ht="12.75" customHeight="1">
      <c r="C769" s="4" t="s">
        <v>0</v>
      </c>
      <c r="D769" s="4" t="s">
        <v>1</v>
      </c>
      <c r="E769" s="4" t="s">
        <v>2</v>
      </c>
      <c r="F769" s="4" t="s">
        <v>3</v>
      </c>
      <c r="G769" s="4" t="s">
        <v>34</v>
      </c>
      <c r="H769" s="4" t="s">
        <v>20</v>
      </c>
      <c r="I769" s="4" t="s">
        <v>4</v>
      </c>
      <c r="J769" s="4" t="s">
        <v>110</v>
      </c>
      <c r="K769" s="4" t="s">
        <v>113</v>
      </c>
      <c r="L769" s="4" t="s">
        <v>30</v>
      </c>
      <c r="M769" s="4" t="s">
        <v>5</v>
      </c>
    </row>
    <row r="770" spans="2:13" ht="12.75" customHeight="1">
      <c r="B770" s="128" t="s">
        <v>18</v>
      </c>
      <c r="C770" s="6">
        <f aca="true" t="shared" si="167" ref="C770:M770">C458+C504+C550+C46+C92+C138+C184+C230+C276+C322+C368+C414</f>
        <v>8515052.629999995</v>
      </c>
      <c r="D770" s="6">
        <f t="shared" si="167"/>
        <v>0</v>
      </c>
      <c r="E770" s="6">
        <f t="shared" si="167"/>
        <v>0</v>
      </c>
      <c r="F770" s="6">
        <f t="shared" si="167"/>
        <v>474108.8499999999</v>
      </c>
      <c r="G770" s="6">
        <f t="shared" si="167"/>
        <v>465888.55</v>
      </c>
      <c r="H770" s="6">
        <f t="shared" si="167"/>
        <v>0</v>
      </c>
      <c r="I770" s="6">
        <f t="shared" si="167"/>
        <v>14418.83</v>
      </c>
      <c r="J770" s="6">
        <f t="shared" si="167"/>
        <v>0</v>
      </c>
      <c r="K770" s="6">
        <f t="shared" si="167"/>
        <v>0</v>
      </c>
      <c r="L770" s="6">
        <f t="shared" si="167"/>
        <v>0</v>
      </c>
      <c r="M770" s="6">
        <f t="shared" si="167"/>
        <v>0</v>
      </c>
    </row>
    <row r="771" spans="2:13" ht="12.75" customHeight="1">
      <c r="B771" s="128" t="s">
        <v>19</v>
      </c>
      <c r="C771" s="6">
        <f aca="true" t="shared" si="168" ref="C771:M771">C459+C505+C551+C47+C93+C139+C185+C231+C277+C323+C369+C415</f>
        <v>29193852.359999955</v>
      </c>
      <c r="D771" s="6">
        <f t="shared" si="168"/>
        <v>3861461.4399999995</v>
      </c>
      <c r="E771" s="6">
        <f t="shared" si="168"/>
        <v>6321891.750000001</v>
      </c>
      <c r="F771" s="6">
        <f t="shared" si="168"/>
        <v>2657363.6999999997</v>
      </c>
      <c r="G771" s="6">
        <f t="shared" si="168"/>
        <v>2364979.8400000003</v>
      </c>
      <c r="H771" s="6">
        <f t="shared" si="168"/>
        <v>10127636.92</v>
      </c>
      <c r="I771" s="6">
        <f t="shared" si="168"/>
        <v>5108708.1</v>
      </c>
      <c r="J771" s="6">
        <f t="shared" si="168"/>
        <v>276260.18</v>
      </c>
      <c r="K771" s="6">
        <f t="shared" si="168"/>
        <v>46709.68</v>
      </c>
      <c r="L771" s="6">
        <f t="shared" si="168"/>
        <v>0</v>
      </c>
      <c r="M771" s="6">
        <f t="shared" si="168"/>
        <v>0</v>
      </c>
    </row>
    <row r="772" ht="12.75" customHeight="1"/>
    <row r="773" spans="3:15" ht="12.75" customHeight="1" thickBot="1">
      <c r="C773" s="24">
        <f>C770+C771</f>
        <v>37708904.98999995</v>
      </c>
      <c r="D773" s="24">
        <f aca="true" t="shared" si="169" ref="D773:M773">D770+D771</f>
        <v>3861461.4399999995</v>
      </c>
      <c r="E773" s="24">
        <f t="shared" si="169"/>
        <v>6321891.750000001</v>
      </c>
      <c r="F773" s="24">
        <f t="shared" si="169"/>
        <v>3131472.55</v>
      </c>
      <c r="G773" s="24">
        <f t="shared" si="169"/>
        <v>2830868.39</v>
      </c>
      <c r="H773" s="24">
        <f t="shared" si="169"/>
        <v>10127636.92</v>
      </c>
      <c r="I773" s="24">
        <f t="shared" si="169"/>
        <v>5123126.93</v>
      </c>
      <c r="J773" s="24">
        <f t="shared" si="169"/>
        <v>276260.18</v>
      </c>
      <c r="K773" s="24">
        <f t="shared" si="169"/>
        <v>46709.68</v>
      </c>
      <c r="L773" s="24">
        <f t="shared" si="169"/>
        <v>0</v>
      </c>
      <c r="M773" s="24">
        <f t="shared" si="169"/>
        <v>0</v>
      </c>
      <c r="O773" s="129">
        <f>SUM(C773:N773)</f>
        <v>69428332.82999995</v>
      </c>
    </row>
    <row r="774" spans="3:13" ht="12.75" customHeight="1" thickTop="1"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</row>
    <row r="775" ht="12.75" customHeight="1">
      <c r="A775" s="17" t="s">
        <v>182</v>
      </c>
    </row>
    <row r="776" spans="3:13" ht="12.75" customHeight="1">
      <c r="C776" s="4" t="s">
        <v>0</v>
      </c>
      <c r="D776" s="4" t="s">
        <v>1</v>
      </c>
      <c r="E776" s="4" t="s">
        <v>2</v>
      </c>
      <c r="F776" s="4" t="s">
        <v>3</v>
      </c>
      <c r="G776" s="4" t="s">
        <v>34</v>
      </c>
      <c r="H776" s="4" t="s">
        <v>20</v>
      </c>
      <c r="I776" s="4" t="s">
        <v>4</v>
      </c>
      <c r="J776" s="4" t="s">
        <v>110</v>
      </c>
      <c r="K776" s="4" t="s">
        <v>113</v>
      </c>
      <c r="L776" s="4" t="s">
        <v>30</v>
      </c>
      <c r="M776" s="4" t="s">
        <v>5</v>
      </c>
    </row>
    <row r="777" spans="2:13" ht="12.75" customHeight="1">
      <c r="B777" s="128" t="s">
        <v>18</v>
      </c>
      <c r="C777" s="6">
        <f>C460+C506+C552+C48+C94+C140+C186+C232+C278+C324+C370+C416</f>
        <v>2160407.51</v>
      </c>
      <c r="D777" s="6">
        <f aca="true" t="shared" si="170" ref="D777:M777">D460+D506+D552+D48+D94+D140+D186+D232+D278+D324+D370+D416</f>
        <v>0</v>
      </c>
      <c r="E777" s="6">
        <f t="shared" si="170"/>
        <v>0</v>
      </c>
      <c r="F777" s="6">
        <f t="shared" si="170"/>
        <v>125350.36000000002</v>
      </c>
      <c r="G777" s="6">
        <f t="shared" si="170"/>
        <v>174889.86</v>
      </c>
      <c r="H777" s="6">
        <f t="shared" si="170"/>
        <v>0</v>
      </c>
      <c r="I777" s="6">
        <f t="shared" si="170"/>
        <v>179034.21</v>
      </c>
      <c r="J777" s="6">
        <f t="shared" si="170"/>
        <v>0</v>
      </c>
      <c r="K777" s="6">
        <f t="shared" si="170"/>
        <v>0</v>
      </c>
      <c r="L777" s="6">
        <f t="shared" si="170"/>
        <v>0</v>
      </c>
      <c r="M777" s="6">
        <f t="shared" si="170"/>
        <v>0</v>
      </c>
    </row>
    <row r="778" spans="2:13" ht="12.75" customHeight="1">
      <c r="B778" s="128" t="s">
        <v>19</v>
      </c>
      <c r="C778" s="6">
        <f aca="true" t="shared" si="171" ref="C778:M778">C461+C507+C553+C49+C95+C141+C187+C233+C279+C325+C371+C417</f>
        <v>18509647.309999987</v>
      </c>
      <c r="D778" s="6">
        <f t="shared" si="171"/>
        <v>3211007.81</v>
      </c>
      <c r="E778" s="6">
        <f t="shared" si="171"/>
        <v>3575469.1199999996</v>
      </c>
      <c r="F778" s="6">
        <f t="shared" si="171"/>
        <v>1417725.7100000002</v>
      </c>
      <c r="G778" s="6">
        <f t="shared" si="171"/>
        <v>1221908.4299999997</v>
      </c>
      <c r="H778" s="6">
        <f t="shared" si="171"/>
        <v>7063002.880999998</v>
      </c>
      <c r="I778" s="6">
        <f t="shared" si="171"/>
        <v>2972388.35</v>
      </c>
      <c r="J778" s="6">
        <f t="shared" si="171"/>
        <v>0</v>
      </c>
      <c r="K778" s="6">
        <f t="shared" si="171"/>
        <v>18396.000000000004</v>
      </c>
      <c r="L778" s="6">
        <f t="shared" si="171"/>
        <v>0</v>
      </c>
      <c r="M778" s="6">
        <f t="shared" si="171"/>
        <v>0</v>
      </c>
    </row>
    <row r="779" ht="12.75" customHeight="1"/>
    <row r="780" spans="3:15" ht="12.75" customHeight="1" thickBot="1">
      <c r="C780" s="24">
        <f>C777+C778</f>
        <v>20670054.819999985</v>
      </c>
      <c r="D780" s="24">
        <f aca="true" t="shared" si="172" ref="D780:M780">D777+D778</f>
        <v>3211007.81</v>
      </c>
      <c r="E780" s="24">
        <f t="shared" si="172"/>
        <v>3575469.1199999996</v>
      </c>
      <c r="F780" s="24">
        <f t="shared" si="172"/>
        <v>1543076.0700000003</v>
      </c>
      <c r="G780" s="24">
        <f t="shared" si="172"/>
        <v>1396798.2899999996</v>
      </c>
      <c r="H780" s="24">
        <f t="shared" si="172"/>
        <v>7063002.880999998</v>
      </c>
      <c r="I780" s="24">
        <f t="shared" si="172"/>
        <v>3151422.56</v>
      </c>
      <c r="J780" s="24">
        <f t="shared" si="172"/>
        <v>0</v>
      </c>
      <c r="K780" s="24">
        <f t="shared" si="172"/>
        <v>18396.000000000004</v>
      </c>
      <c r="L780" s="24">
        <f t="shared" si="172"/>
        <v>0</v>
      </c>
      <c r="M780" s="24">
        <f t="shared" si="172"/>
        <v>0</v>
      </c>
      <c r="O780" s="129">
        <f>SUM(C780:N780)</f>
        <v>40629227.550999984</v>
      </c>
    </row>
    <row r="781" spans="3:13" ht="12.75" customHeight="1" thickTop="1"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</row>
    <row r="782" ht="12.75" customHeight="1">
      <c r="A782" s="17" t="s">
        <v>197</v>
      </c>
    </row>
    <row r="783" spans="3:13" ht="12.75" customHeight="1">
      <c r="C783" s="4" t="s">
        <v>0</v>
      </c>
      <c r="D783" s="4" t="s">
        <v>1</v>
      </c>
      <c r="E783" s="4" t="s">
        <v>2</v>
      </c>
      <c r="F783" s="4" t="s">
        <v>3</v>
      </c>
      <c r="G783" s="4" t="s">
        <v>34</v>
      </c>
      <c r="H783" s="4" t="s">
        <v>20</v>
      </c>
      <c r="I783" s="4" t="s">
        <v>4</v>
      </c>
      <c r="J783" s="4" t="s">
        <v>110</v>
      </c>
      <c r="K783" s="4" t="s">
        <v>113</v>
      </c>
      <c r="L783" s="4" t="s">
        <v>30</v>
      </c>
      <c r="M783" s="4" t="s">
        <v>5</v>
      </c>
    </row>
    <row r="784" spans="2:13" ht="12.75" customHeight="1">
      <c r="B784" s="128" t="s">
        <v>18</v>
      </c>
      <c r="C784" s="6">
        <f>C462+C508+C554+C50+C96+C142+C188+C234+C280+C326+C372+C418</f>
        <v>0</v>
      </c>
      <c r="D784" s="6">
        <f aca="true" t="shared" si="173" ref="D784:M784">D462+D508+D554+D50+D96+D142+D188+D234+D280+D326+D372+D418</f>
        <v>0</v>
      </c>
      <c r="E784" s="6">
        <f t="shared" si="173"/>
        <v>0</v>
      </c>
      <c r="F784" s="6">
        <f t="shared" si="173"/>
        <v>3896.3599999999997</v>
      </c>
      <c r="G784" s="6">
        <f t="shared" si="173"/>
        <v>382.33</v>
      </c>
      <c r="H784" s="6">
        <f t="shared" si="173"/>
        <v>0</v>
      </c>
      <c r="I784" s="6">
        <f t="shared" si="173"/>
        <v>100.55</v>
      </c>
      <c r="J784" s="6">
        <f t="shared" si="173"/>
        <v>0</v>
      </c>
      <c r="K784" s="6">
        <f t="shared" si="173"/>
        <v>0</v>
      </c>
      <c r="L784" s="6">
        <f t="shared" si="173"/>
        <v>0</v>
      </c>
      <c r="M784" s="6">
        <f t="shared" si="173"/>
        <v>0</v>
      </c>
    </row>
    <row r="785" spans="2:13" ht="12.75" customHeight="1">
      <c r="B785" s="128" t="s">
        <v>19</v>
      </c>
      <c r="C785" s="6">
        <f aca="true" t="shared" si="174" ref="C785:M785">C463+C509+C555+C51+C97+C143+C189+C235+C281+C327+C373+C419</f>
        <v>5922492.77</v>
      </c>
      <c r="D785" s="6">
        <f t="shared" si="174"/>
        <v>1352305.53</v>
      </c>
      <c r="E785" s="6">
        <f t="shared" si="174"/>
        <v>1489159.51</v>
      </c>
      <c r="F785" s="6">
        <f t="shared" si="174"/>
        <v>669798.02</v>
      </c>
      <c r="G785" s="6">
        <f t="shared" si="174"/>
        <v>104542.81000000001</v>
      </c>
      <c r="H785" s="6">
        <f t="shared" si="174"/>
        <v>2376459.5700000003</v>
      </c>
      <c r="I785" s="6">
        <f t="shared" si="174"/>
        <v>1039042.6000000001</v>
      </c>
      <c r="J785" s="6">
        <f t="shared" si="174"/>
        <v>0</v>
      </c>
      <c r="K785" s="6">
        <f t="shared" si="174"/>
        <v>6900.44</v>
      </c>
      <c r="L785" s="6">
        <f t="shared" si="174"/>
        <v>0</v>
      </c>
      <c r="M785" s="6">
        <f t="shared" si="174"/>
        <v>0</v>
      </c>
    </row>
    <row r="786" ht="12.75" customHeight="1"/>
    <row r="787" spans="3:15" ht="12.75" customHeight="1" thickBot="1">
      <c r="C787" s="24">
        <f>C784+C785</f>
        <v>5922492.77</v>
      </c>
      <c r="D787" s="24">
        <f aca="true" t="shared" si="175" ref="D787:M787">D784+D785</f>
        <v>1352305.53</v>
      </c>
      <c r="E787" s="24">
        <f t="shared" si="175"/>
        <v>1489159.51</v>
      </c>
      <c r="F787" s="24">
        <f t="shared" si="175"/>
        <v>673694.38</v>
      </c>
      <c r="G787" s="24">
        <f t="shared" si="175"/>
        <v>104925.14000000001</v>
      </c>
      <c r="H787" s="24">
        <f t="shared" si="175"/>
        <v>2376459.5700000003</v>
      </c>
      <c r="I787" s="24">
        <f t="shared" si="175"/>
        <v>1039143.1500000001</v>
      </c>
      <c r="J787" s="24">
        <f t="shared" si="175"/>
        <v>0</v>
      </c>
      <c r="K787" s="24">
        <f t="shared" si="175"/>
        <v>6900.44</v>
      </c>
      <c r="L787" s="24">
        <f t="shared" si="175"/>
        <v>0</v>
      </c>
      <c r="M787" s="24">
        <f t="shared" si="175"/>
        <v>0</v>
      </c>
      <c r="O787" s="129">
        <f>SUM(C787:N787)</f>
        <v>12965080.490000002</v>
      </c>
    </row>
    <row r="788" spans="3:13" ht="12.75" customHeight="1" thickTop="1"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</row>
    <row r="789" ht="12.75" customHeight="1" thickBot="1">
      <c r="O789" s="244">
        <f>SUM(O680,O673,O666,O659,O652,O645,O687,O694,O700,O706,O712,O718,O724,O730,O736+O742+O748+O754+O760+O766+O773+O780+O787)</f>
        <v>1192237590.3589997</v>
      </c>
    </row>
    <row r="790" ht="12.75" customHeight="1" thickTop="1"/>
    <row r="791" ht="12.75" customHeight="1">
      <c r="E791" s="17"/>
    </row>
    <row r="792" ht="12.75" customHeight="1">
      <c r="E792" s="17"/>
    </row>
    <row r="793" spans="6:9" ht="12.75" customHeight="1">
      <c r="F793" s="6"/>
      <c r="G793" s="6"/>
      <c r="I793" s="6"/>
    </row>
    <row r="794" ht="12.75" customHeight="1"/>
    <row r="795" ht="12.75" customHeight="1"/>
    <row r="796" ht="12.75" customHeight="1"/>
    <row r="797" ht="12.75" customHeight="1">
      <c r="J797" s="6"/>
    </row>
    <row r="798" ht="12.75" customHeight="1">
      <c r="J798" s="6"/>
    </row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</sheetData>
  <sheetProtection password="9F11" sheet="1"/>
  <mergeCells count="276">
    <mergeCell ref="A418:A419"/>
    <mergeCell ref="A464:A465"/>
    <mergeCell ref="A510:A511"/>
    <mergeCell ref="A556:A557"/>
    <mergeCell ref="A142:A143"/>
    <mergeCell ref="A96:A97"/>
    <mergeCell ref="A188:A189"/>
    <mergeCell ref="A234:A235"/>
    <mergeCell ref="A280:A281"/>
    <mergeCell ref="A326:A327"/>
    <mergeCell ref="A372:A373"/>
    <mergeCell ref="A526:A527"/>
    <mergeCell ref="A518:A519"/>
    <mergeCell ref="A454:A455"/>
    <mergeCell ref="A500:A501"/>
    <mergeCell ref="A402:A403"/>
    <mergeCell ref="A376:A377"/>
    <mergeCell ref="A486:A487"/>
    <mergeCell ref="A446:A447"/>
    <mergeCell ref="A408:A409"/>
    <mergeCell ref="A406:A407"/>
    <mergeCell ref="A538:A539"/>
    <mergeCell ref="A428:A429"/>
    <mergeCell ref="A536:A537"/>
    <mergeCell ref="A532:A533"/>
    <mergeCell ref="A78:A79"/>
    <mergeCell ref="A80:A81"/>
    <mergeCell ref="A252:A253"/>
    <mergeCell ref="A480:A481"/>
    <mergeCell ref="A490:A491"/>
    <mergeCell ref="A346:A347"/>
    <mergeCell ref="A236:A237"/>
    <mergeCell ref="A174:A175"/>
    <mergeCell ref="A172:A173"/>
    <mergeCell ref="A270:A271"/>
    <mergeCell ref="A254:A255"/>
    <mergeCell ref="A238:A239"/>
    <mergeCell ref="A224:A225"/>
    <mergeCell ref="A250:A251"/>
    <mergeCell ref="A266:A267"/>
    <mergeCell ref="A230:A231"/>
    <mergeCell ref="A292:A293"/>
    <mergeCell ref="A206:A207"/>
    <mergeCell ref="A62:A63"/>
    <mergeCell ref="A66:A67"/>
    <mergeCell ref="A108:A109"/>
    <mergeCell ref="A120:A121"/>
    <mergeCell ref="A166:A167"/>
    <mergeCell ref="A202:A203"/>
    <mergeCell ref="A156:A157"/>
    <mergeCell ref="A118:A119"/>
    <mergeCell ref="A392:A393"/>
    <mergeCell ref="A384:A385"/>
    <mergeCell ref="A374:A375"/>
    <mergeCell ref="A390:A391"/>
    <mergeCell ref="A474:A475"/>
    <mergeCell ref="A426:A427"/>
    <mergeCell ref="A468:A469"/>
    <mergeCell ref="A432:A433"/>
    <mergeCell ref="A472:A473"/>
    <mergeCell ref="A382:A383"/>
    <mergeCell ref="A6:A7"/>
    <mergeCell ref="A8:A9"/>
    <mergeCell ref="A10:A11"/>
    <mergeCell ref="A52:A53"/>
    <mergeCell ref="A12:A13"/>
    <mergeCell ref="A14:A15"/>
    <mergeCell ref="A18:A19"/>
    <mergeCell ref="A16:A17"/>
    <mergeCell ref="A20:A21"/>
    <mergeCell ref="A22:A23"/>
    <mergeCell ref="A26:A27"/>
    <mergeCell ref="A36:A37"/>
    <mergeCell ref="A30:A31"/>
    <mergeCell ref="A24:A25"/>
    <mergeCell ref="A28:A29"/>
    <mergeCell ref="A38:A39"/>
    <mergeCell ref="A56:A57"/>
    <mergeCell ref="A42:A43"/>
    <mergeCell ref="A44:A45"/>
    <mergeCell ref="A34:A35"/>
    <mergeCell ref="A40:A41"/>
    <mergeCell ref="A46:A47"/>
    <mergeCell ref="A48:A49"/>
    <mergeCell ref="A50:A51"/>
    <mergeCell ref="A58:A59"/>
    <mergeCell ref="A112:A113"/>
    <mergeCell ref="A98:A99"/>
    <mergeCell ref="A90:A91"/>
    <mergeCell ref="A68:A69"/>
    <mergeCell ref="A32:A33"/>
    <mergeCell ref="A76:A77"/>
    <mergeCell ref="A54:A55"/>
    <mergeCell ref="A72:A73"/>
    <mergeCell ref="A86:A87"/>
    <mergeCell ref="A60:A61"/>
    <mergeCell ref="A74:A75"/>
    <mergeCell ref="A70:A71"/>
    <mergeCell ref="A106:A107"/>
    <mergeCell ref="A64:A65"/>
    <mergeCell ref="A100:A101"/>
    <mergeCell ref="A82:A83"/>
    <mergeCell ref="A102:A103"/>
    <mergeCell ref="A88:A89"/>
    <mergeCell ref="A92:A93"/>
    <mergeCell ref="A84:A85"/>
    <mergeCell ref="A248:A249"/>
    <mergeCell ref="A132:A133"/>
    <mergeCell ref="A130:A131"/>
    <mergeCell ref="A204:A205"/>
    <mergeCell ref="A164:A165"/>
    <mergeCell ref="A218:A219"/>
    <mergeCell ref="A104:A105"/>
    <mergeCell ref="A124:A125"/>
    <mergeCell ref="A116:A117"/>
    <mergeCell ref="A148:A149"/>
    <mergeCell ref="A152:A153"/>
    <mergeCell ref="A190:A191"/>
    <mergeCell ref="A138:A139"/>
    <mergeCell ref="A170:A171"/>
    <mergeCell ref="A168:A169"/>
    <mergeCell ref="A154:A155"/>
    <mergeCell ref="A176:A177"/>
    <mergeCell ref="A126:A127"/>
    <mergeCell ref="A122:A123"/>
    <mergeCell ref="A114:A115"/>
    <mergeCell ref="A160:A161"/>
    <mergeCell ref="A110:A111"/>
    <mergeCell ref="A150:A151"/>
    <mergeCell ref="A146:A147"/>
    <mergeCell ref="A128:A129"/>
    <mergeCell ref="A136:A137"/>
    <mergeCell ref="A144:A145"/>
    <mergeCell ref="A274:A275"/>
    <mergeCell ref="A200:A201"/>
    <mergeCell ref="A242:A243"/>
    <mergeCell ref="A198:A199"/>
    <mergeCell ref="A244:A245"/>
    <mergeCell ref="A184:A185"/>
    <mergeCell ref="A258:A259"/>
    <mergeCell ref="A246:A247"/>
    <mergeCell ref="A210:A211"/>
    <mergeCell ref="A196:A197"/>
    <mergeCell ref="A294:A295"/>
    <mergeCell ref="A222:A223"/>
    <mergeCell ref="A162:A163"/>
    <mergeCell ref="A262:A263"/>
    <mergeCell ref="A208:A209"/>
    <mergeCell ref="A194:A195"/>
    <mergeCell ref="A178:A179"/>
    <mergeCell ref="A182:A183"/>
    <mergeCell ref="A192:A193"/>
    <mergeCell ref="A216:A217"/>
    <mergeCell ref="A332:A333"/>
    <mergeCell ref="A338:A339"/>
    <mergeCell ref="A320:A321"/>
    <mergeCell ref="A334:A335"/>
    <mergeCell ref="A314:A315"/>
    <mergeCell ref="A316:A317"/>
    <mergeCell ref="A336:A337"/>
    <mergeCell ref="A296:A297"/>
    <mergeCell ref="A298:A299"/>
    <mergeCell ref="A328:A329"/>
    <mergeCell ref="A306:A307"/>
    <mergeCell ref="A318:A319"/>
    <mergeCell ref="A330:A331"/>
    <mergeCell ref="A324:A325"/>
    <mergeCell ref="A256:A257"/>
    <mergeCell ref="A264:A265"/>
    <mergeCell ref="A348:A349"/>
    <mergeCell ref="A340:A341"/>
    <mergeCell ref="A220:A221"/>
    <mergeCell ref="A308:A309"/>
    <mergeCell ref="A304:A305"/>
    <mergeCell ref="A310:A311"/>
    <mergeCell ref="A290:A291"/>
    <mergeCell ref="A286:A287"/>
    <mergeCell ref="A354:A355"/>
    <mergeCell ref="A368:A369"/>
    <mergeCell ref="A352:A353"/>
    <mergeCell ref="A356:A357"/>
    <mergeCell ref="A362:A363"/>
    <mergeCell ref="A276:A277"/>
    <mergeCell ref="A312:A313"/>
    <mergeCell ref="A284:A285"/>
    <mergeCell ref="A288:A289"/>
    <mergeCell ref="A302:A303"/>
    <mergeCell ref="A502:A503"/>
    <mergeCell ref="A404:A405"/>
    <mergeCell ref="A450:A451"/>
    <mergeCell ref="A444:A445"/>
    <mergeCell ref="A476:A477"/>
    <mergeCell ref="A240:A241"/>
    <mergeCell ref="A282:A283"/>
    <mergeCell ref="A300:A301"/>
    <mergeCell ref="A394:A395"/>
    <mergeCell ref="A364:A365"/>
    <mergeCell ref="A410:A411"/>
    <mergeCell ref="A488:A489"/>
    <mergeCell ref="A484:A485"/>
    <mergeCell ref="A358:A359"/>
    <mergeCell ref="A380:A381"/>
    <mergeCell ref="A386:A387"/>
    <mergeCell ref="A482:A483"/>
    <mergeCell ref="A460:A461"/>
    <mergeCell ref="A434:A435"/>
    <mergeCell ref="A466:A467"/>
    <mergeCell ref="A478:A479"/>
    <mergeCell ref="A420:A421"/>
    <mergeCell ref="A452:A453"/>
    <mergeCell ref="A496:A497"/>
    <mergeCell ref="A494:A495"/>
    <mergeCell ref="A442:A443"/>
    <mergeCell ref="A440:A441"/>
    <mergeCell ref="A430:A431"/>
    <mergeCell ref="A448:A449"/>
    <mergeCell ref="A546:A547"/>
    <mergeCell ref="A158:A159"/>
    <mergeCell ref="A212:A213"/>
    <mergeCell ref="A268:A269"/>
    <mergeCell ref="A260:A261"/>
    <mergeCell ref="A350:A351"/>
    <mergeCell ref="A342:A343"/>
    <mergeCell ref="A388:A389"/>
    <mergeCell ref="A422:A423"/>
    <mergeCell ref="A400:A401"/>
    <mergeCell ref="A542:A543"/>
    <mergeCell ref="A524:A525"/>
    <mergeCell ref="A520:A521"/>
    <mergeCell ref="A540:A541"/>
    <mergeCell ref="A522:A523"/>
    <mergeCell ref="A436:A437"/>
    <mergeCell ref="A438:A439"/>
    <mergeCell ref="A470:A471"/>
    <mergeCell ref="A498:A499"/>
    <mergeCell ref="A492:A493"/>
    <mergeCell ref="A134:A135"/>
    <mergeCell ref="A180:A181"/>
    <mergeCell ref="A226:A227"/>
    <mergeCell ref="A272:A273"/>
    <mergeCell ref="A214:A215"/>
    <mergeCell ref="A414:A415"/>
    <mergeCell ref="A344:A345"/>
    <mergeCell ref="A228:A229"/>
    <mergeCell ref="A322:A323"/>
    <mergeCell ref="A398:A399"/>
    <mergeCell ref="A552:A553"/>
    <mergeCell ref="A366:A367"/>
    <mergeCell ref="A412:A413"/>
    <mergeCell ref="A458:A459"/>
    <mergeCell ref="A504:A505"/>
    <mergeCell ref="A550:A551"/>
    <mergeCell ref="A548:A549"/>
    <mergeCell ref="A534:A535"/>
    <mergeCell ref="A514:A515"/>
    <mergeCell ref="A530:A531"/>
    <mergeCell ref="A516:A517"/>
    <mergeCell ref="A360:A361"/>
    <mergeCell ref="A378:A379"/>
    <mergeCell ref="A506:A507"/>
    <mergeCell ref="A456:A457"/>
    <mergeCell ref="A528:A529"/>
    <mergeCell ref="A512:A513"/>
    <mergeCell ref="A396:A397"/>
    <mergeCell ref="A370:A371"/>
    <mergeCell ref="A424:A425"/>
    <mergeCell ref="A416:A417"/>
    <mergeCell ref="A462:A463"/>
    <mergeCell ref="A508:A509"/>
    <mergeCell ref="A554:A555"/>
    <mergeCell ref="A94:A95"/>
    <mergeCell ref="A140:A141"/>
    <mergeCell ref="A186:A187"/>
    <mergeCell ref="A232:A233"/>
    <mergeCell ref="A278:A279"/>
    <mergeCell ref="A544:A545"/>
  </mergeCells>
  <printOptions/>
  <pageMargins left="0.25" right="0.25" top="0.5" bottom="0.5" header="0.5" footer="0.5"/>
  <pageSetup fitToHeight="2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7"/>
  <sheetViews>
    <sheetView zoomScale="75" zoomScaleNormal="75" zoomScalePageLayoutView="0" workbookViewId="0" topLeftCell="A1">
      <selection activeCell="C20" sqref="C20"/>
    </sheetView>
  </sheetViews>
  <sheetFormatPr defaultColWidth="9.140625" defaultRowHeight="12.75"/>
  <cols>
    <col min="2" max="2" width="10.7109375" style="0" customWidth="1"/>
    <col min="3" max="3" width="15.57421875" style="0" customWidth="1"/>
    <col min="4" max="5" width="13.7109375" style="0" customWidth="1"/>
    <col min="6" max="7" width="15.140625" style="0" customWidth="1"/>
    <col min="8" max="10" width="13.7109375" style="0" customWidth="1"/>
    <col min="11" max="11" width="14.8515625" style="0" customWidth="1"/>
    <col min="12" max="12" width="15.7109375" style="0" customWidth="1"/>
    <col min="13" max="13" width="14.8515625" style="0" customWidth="1"/>
    <col min="14" max="14" width="11.28125" style="0" customWidth="1"/>
    <col min="16" max="16" width="13.8515625" style="0" customWidth="1"/>
    <col min="17" max="18" width="11.28125" style="0" customWidth="1"/>
    <col min="19" max="19" width="13.8515625" style="0" customWidth="1"/>
    <col min="20" max="20" width="12.8515625" style="0" customWidth="1"/>
    <col min="21" max="21" width="11.28125" style="0" customWidth="1"/>
    <col min="22" max="22" width="13.8515625" style="0" customWidth="1"/>
  </cols>
  <sheetData>
    <row r="1" spans="1:2" ht="15.75">
      <c r="A1" s="1" t="s">
        <v>12</v>
      </c>
      <c r="B1" s="2"/>
    </row>
    <row r="2" spans="1:3" ht="12.75">
      <c r="A2" s="3" t="s">
        <v>13</v>
      </c>
      <c r="B2" s="16"/>
      <c r="C2" s="17"/>
    </row>
    <row r="5" spans="1:11" ht="13.5" thickBot="1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20</v>
      </c>
      <c r="H5" s="4" t="s">
        <v>4</v>
      </c>
      <c r="I5" s="4" t="s">
        <v>30</v>
      </c>
      <c r="J5" s="4" t="s">
        <v>5</v>
      </c>
      <c r="K5" s="4" t="s">
        <v>6</v>
      </c>
    </row>
    <row r="6" spans="1:11" ht="12.75">
      <c r="A6" s="540">
        <v>36161</v>
      </c>
      <c r="B6" s="49" t="s">
        <v>7</v>
      </c>
      <c r="C6" s="130">
        <f>ORIG!C6/ORIG!$J6</f>
        <v>0.2846920283331546</v>
      </c>
      <c r="D6" s="130">
        <f>ORIG!D6/ORIG!$J6</f>
        <v>0.015161732147566262</v>
      </c>
      <c r="E6" s="130">
        <f>ORIG!E6/ORIG!$J6</f>
        <v>0.006246971841567244</v>
      </c>
      <c r="F6" s="130">
        <f>ORIG!F6/ORIG!$J6</f>
        <v>0.6825541867092814</v>
      </c>
      <c r="G6" s="130">
        <f>ORIG!G6/ORIG!$J6</f>
        <v>0</v>
      </c>
      <c r="H6" s="131">
        <f>ORIG!H6/ORIG!$J6</f>
        <v>0.002123595528896635</v>
      </c>
      <c r="I6" s="131"/>
      <c r="J6" s="132">
        <f>ORIG!I6/ORIG!$J6</f>
        <v>0.00922148543953396</v>
      </c>
      <c r="K6" s="133">
        <f>SUM(C6:J6)</f>
        <v>1</v>
      </c>
    </row>
    <row r="7" spans="1:22" ht="13.5" thickBot="1">
      <c r="A7" s="541"/>
      <c r="B7" s="51" t="s">
        <v>8</v>
      </c>
      <c r="C7" s="134">
        <f>ORIG!C7/ORIG!$J7</f>
        <v>0.3844710731791098</v>
      </c>
      <c r="D7" s="134">
        <f>ORIG!D7/ORIG!$J7</f>
        <v>0</v>
      </c>
      <c r="E7" s="134">
        <f>ORIG!E7/ORIG!$J7</f>
        <v>0.01455919462023226</v>
      </c>
      <c r="F7" s="134">
        <f>ORIG!F7/ORIG!$J7</f>
        <v>0.5747578972400946</v>
      </c>
      <c r="G7" s="134">
        <f>ORIG!G7/ORIG!$J7</f>
        <v>0</v>
      </c>
      <c r="H7" s="135">
        <f>ORIG!H7/ORIG!$J7</f>
        <v>0.026211834960563344</v>
      </c>
      <c r="I7" s="249"/>
      <c r="J7" s="136">
        <f>ORIG!I7/ORIG!$J7</f>
        <v>0</v>
      </c>
      <c r="K7" s="133">
        <f aca="true" t="shared" si="0" ref="K7:K76">SUM(C7:J7)</f>
        <v>1</v>
      </c>
      <c r="L7" s="6">
        <f>SUM(K6:K7)</f>
        <v>2</v>
      </c>
      <c r="P7" s="7"/>
      <c r="Q7" s="7"/>
      <c r="R7" s="7"/>
      <c r="S7" s="7"/>
      <c r="T7" s="7"/>
      <c r="U7" s="7"/>
      <c r="V7" s="6"/>
    </row>
    <row r="8" spans="1:22" ht="12.75">
      <c r="A8" s="535">
        <v>36526</v>
      </c>
      <c r="B8" s="53" t="s">
        <v>7</v>
      </c>
      <c r="C8" s="137">
        <f>ORIG!C8/ORIG!$J8</f>
        <v>0.28207648801843604</v>
      </c>
      <c r="D8" s="137">
        <f>ORIG!D8/ORIG!$J8</f>
        <v>0.021469894405052065</v>
      </c>
      <c r="E8" s="137">
        <f>ORIG!E8/ORIG!$J8</f>
        <v>0.004389976954938638</v>
      </c>
      <c r="F8" s="137">
        <f>ORIG!F8/ORIG!$J8</f>
        <v>0.6860075451647919</v>
      </c>
      <c r="G8" s="137">
        <f>ORIG!G8/ORIG!$J8</f>
        <v>0</v>
      </c>
      <c r="H8" s="138">
        <f>ORIG!H8/ORIG!$J8</f>
        <v>0</v>
      </c>
      <c r="I8" s="250"/>
      <c r="J8" s="139">
        <f>ORIG!I8/ORIG!$J8</f>
        <v>0.006056095456781343</v>
      </c>
      <c r="K8" s="140">
        <f t="shared" si="0"/>
        <v>0.9999999999999999</v>
      </c>
      <c r="P8" s="7"/>
      <c r="Q8" s="7"/>
      <c r="R8" s="7"/>
      <c r="S8" s="7"/>
      <c r="T8" s="7"/>
      <c r="U8" s="7"/>
      <c r="V8" s="6"/>
    </row>
    <row r="9" spans="1:22" ht="13.5" thickBot="1">
      <c r="A9" s="535"/>
      <c r="B9" s="55" t="s">
        <v>8</v>
      </c>
      <c r="C9" s="141">
        <f>ORIG!C9/ORIG!$J9</f>
        <v>0.1866975817935859</v>
      </c>
      <c r="D9" s="141">
        <f>ORIG!D9/ORIG!$J9</f>
        <v>0</v>
      </c>
      <c r="E9" s="141">
        <f>ORIG!E9/ORIG!$J9</f>
        <v>0</v>
      </c>
      <c r="F9" s="141">
        <f>ORIG!F9/ORIG!$J9</f>
        <v>0.457759202222125</v>
      </c>
      <c r="G9" s="141">
        <f>ORIG!G9/ORIG!$J9</f>
        <v>0</v>
      </c>
      <c r="H9" s="142">
        <f>ORIG!H9/ORIG!$J9</f>
        <v>0.35554321598428895</v>
      </c>
      <c r="I9" s="251"/>
      <c r="J9" s="143">
        <f>ORIG!I9/ORIG!$J9</f>
        <v>0</v>
      </c>
      <c r="K9" s="140">
        <f t="shared" si="0"/>
        <v>0.9999999999999999</v>
      </c>
      <c r="L9" s="6">
        <f>SUM(K8:K9)</f>
        <v>1.9999999999999998</v>
      </c>
      <c r="P9" s="7"/>
      <c r="Q9" s="7"/>
      <c r="R9" s="7"/>
      <c r="S9" s="7"/>
      <c r="T9" s="7"/>
      <c r="U9" s="7"/>
      <c r="V9" s="6"/>
    </row>
    <row r="10" spans="1:22" ht="12.75">
      <c r="A10" s="497">
        <f>A8+366</f>
        <v>36892</v>
      </c>
      <c r="B10" s="57" t="s">
        <v>7</v>
      </c>
      <c r="C10" s="144">
        <f>ORIG!C10/ORIG!$J10</f>
        <v>0.29426827547607415</v>
      </c>
      <c r="D10" s="144">
        <f>ORIG!D10/ORIG!$J10</f>
        <v>0.01918447595681433</v>
      </c>
      <c r="E10" s="144">
        <f>ORIG!E10/ORIG!$J10</f>
        <v>0.003060679477839446</v>
      </c>
      <c r="F10" s="144">
        <f>ORIG!F10/ORIG!$J10</f>
        <v>0.6707195031079958</v>
      </c>
      <c r="G10" s="144">
        <f>ORIG!G10/ORIG!$J10</f>
        <v>0</v>
      </c>
      <c r="H10" s="145">
        <f>ORIG!H10/ORIG!$J10</f>
        <v>0.003551882836414699</v>
      </c>
      <c r="I10" s="252"/>
      <c r="J10" s="146">
        <f>ORIG!I10/ORIG!$J10</f>
        <v>0.00921518314486153</v>
      </c>
      <c r="K10" s="147">
        <f t="shared" si="0"/>
        <v>1</v>
      </c>
      <c r="P10" s="7"/>
      <c r="Q10" s="7"/>
      <c r="R10" s="7"/>
      <c r="S10" s="7"/>
      <c r="T10" s="7"/>
      <c r="U10" s="7"/>
      <c r="V10" s="6"/>
    </row>
    <row r="11" spans="1:22" ht="13.5" thickBot="1">
      <c r="A11" s="497"/>
      <c r="B11" s="59" t="s">
        <v>8</v>
      </c>
      <c r="C11" s="148">
        <f>ORIG!C11/ORIG!$J11</f>
        <v>0.13444094542989735</v>
      </c>
      <c r="D11" s="148">
        <f>ORIG!D11/ORIG!$J11</f>
        <v>0</v>
      </c>
      <c r="E11" s="148">
        <f>ORIG!E11/ORIG!$J11</f>
        <v>0.04476281344433883</v>
      </c>
      <c r="F11" s="148">
        <f>ORIG!F11/ORIG!$J11</f>
        <v>0.5050270346318684</v>
      </c>
      <c r="G11" s="148">
        <f>ORIG!G11/ORIG!$J11</f>
        <v>0</v>
      </c>
      <c r="H11" s="149">
        <f>ORIG!H11/ORIG!$J11</f>
        <v>0.2949196808151579</v>
      </c>
      <c r="I11" s="253"/>
      <c r="J11" s="150">
        <f>ORIG!I11/ORIG!$J11</f>
        <v>0.020849525678737414</v>
      </c>
      <c r="K11" s="147">
        <f t="shared" si="0"/>
        <v>0.9999999999999999</v>
      </c>
      <c r="L11" s="6">
        <f>SUM(K10:K11)</f>
        <v>2</v>
      </c>
      <c r="P11" s="7"/>
      <c r="Q11" s="7"/>
      <c r="R11" s="7"/>
      <c r="S11" s="7"/>
      <c r="T11" s="7"/>
      <c r="U11" s="7"/>
      <c r="V11" s="6"/>
    </row>
    <row r="12" spans="1:22" ht="12.75">
      <c r="A12" s="534">
        <v>37258</v>
      </c>
      <c r="B12" s="61" t="s">
        <v>7</v>
      </c>
      <c r="C12" s="151">
        <f>ORIG!C12/ORIG!$J12</f>
        <v>0.32887894511805355</v>
      </c>
      <c r="D12" s="151">
        <f>ORIG!D12/ORIG!$J12</f>
        <v>0.012983707991407314</v>
      </c>
      <c r="E12" s="151">
        <f>ORIG!E12/ORIG!$J12</f>
        <v>0.0005723140019730272</v>
      </c>
      <c r="F12" s="151">
        <f>ORIG!F12/ORIG!$J12</f>
        <v>0.648325359561525</v>
      </c>
      <c r="G12" s="151">
        <f>ORIG!G12/ORIG!$J12</f>
        <v>0</v>
      </c>
      <c r="H12" s="152">
        <f>ORIG!H12/ORIG!$J12</f>
        <v>0.002991613173531628</v>
      </c>
      <c r="I12" s="254"/>
      <c r="J12" s="153">
        <f>ORIG!I12/ORIG!$J12</f>
        <v>0.006248060153509557</v>
      </c>
      <c r="K12" s="154">
        <f t="shared" si="0"/>
        <v>1.0000000000000002</v>
      </c>
      <c r="L12" s="6"/>
      <c r="P12" s="7"/>
      <c r="Q12" s="7"/>
      <c r="R12" s="7"/>
      <c r="S12" s="7"/>
      <c r="T12" s="7"/>
      <c r="U12" s="7"/>
      <c r="V12" s="6"/>
    </row>
    <row r="13" spans="1:22" ht="13.5" thickBot="1">
      <c r="A13" s="534"/>
      <c r="B13" s="63" t="s">
        <v>8</v>
      </c>
      <c r="C13" s="155">
        <f>ORIG!C13/ORIG!$J13</f>
        <v>0.06667893726291674</v>
      </c>
      <c r="D13" s="155">
        <f>ORIG!D13/ORIG!$J13</f>
        <v>0.28024983109457297</v>
      </c>
      <c r="E13" s="155">
        <f>ORIG!E13/ORIG!$J13</f>
        <v>0.004449384240744388</v>
      </c>
      <c r="F13" s="155">
        <f>ORIG!F13/ORIG!$J13</f>
        <v>0.33851965762681174</v>
      </c>
      <c r="G13" s="155">
        <f>ORIG!G13/ORIG!$J13</f>
        <v>0</v>
      </c>
      <c r="H13" s="156">
        <f>ORIG!H13/ORIG!$J13</f>
        <v>0.28803846159974167</v>
      </c>
      <c r="I13" s="255"/>
      <c r="J13" s="157">
        <f>ORIG!I13/ORIG!$J13</f>
        <v>0.022063728175212478</v>
      </c>
      <c r="K13" s="154">
        <f t="shared" si="0"/>
        <v>1</v>
      </c>
      <c r="L13" s="6">
        <f>SUM(K12:K13)</f>
        <v>2</v>
      </c>
      <c r="P13" s="7"/>
      <c r="Q13" s="7"/>
      <c r="R13" s="7"/>
      <c r="S13" s="7"/>
      <c r="T13" s="7"/>
      <c r="U13" s="7"/>
      <c r="V13" s="6"/>
    </row>
    <row r="14" spans="1:22" ht="12.75">
      <c r="A14" s="519">
        <v>37622</v>
      </c>
      <c r="B14" s="65" t="s">
        <v>7</v>
      </c>
      <c r="C14" s="158">
        <f>ORIG!C14/ORIG!$J14</f>
        <v>0.20076941694943196</v>
      </c>
      <c r="D14" s="158">
        <f>ORIG!D14/ORIG!$J14</f>
        <v>0.02378555112107732</v>
      </c>
      <c r="E14" s="158">
        <f>ORIG!E14/ORIG!$J14</f>
        <v>0</v>
      </c>
      <c r="F14" s="158">
        <f>ORIG!F14/ORIG!$J14</f>
        <v>0.7484363589912502</v>
      </c>
      <c r="G14" s="158">
        <f>ORIG!G14/ORIG!$J14</f>
        <v>0</v>
      </c>
      <c r="H14" s="159">
        <f>ORIG!H14/ORIG!$J14</f>
        <v>0.020952975486171692</v>
      </c>
      <c r="I14" s="256"/>
      <c r="J14" s="160">
        <f>ORIG!I14/ORIG!$J14</f>
        <v>0.0060556974520689704</v>
      </c>
      <c r="K14" s="161">
        <f t="shared" si="0"/>
        <v>1</v>
      </c>
      <c r="L14" s="6"/>
      <c r="P14" s="7"/>
      <c r="Q14" s="7"/>
      <c r="R14" s="7"/>
      <c r="S14" s="7"/>
      <c r="T14" s="7"/>
      <c r="U14" s="7"/>
      <c r="V14" s="6"/>
    </row>
    <row r="15" spans="1:22" ht="13.5" thickBot="1">
      <c r="A15" s="552"/>
      <c r="B15" s="68" t="s">
        <v>8</v>
      </c>
      <c r="C15" s="162">
        <f>ORIG!C15/ORIG!$J15</f>
        <v>0.2245108285123409</v>
      </c>
      <c r="D15" s="162">
        <f>ORIG!D15/ORIG!$J15</f>
        <v>0.23778149508189209</v>
      </c>
      <c r="E15" s="162">
        <f>ORIG!E15/ORIG!$J15</f>
        <v>0.05722878797426658</v>
      </c>
      <c r="F15" s="162">
        <f>ORIG!F15/ORIG!$J15</f>
        <v>0.18696988519913718</v>
      </c>
      <c r="G15" s="162">
        <f>ORIG!G15/ORIG!$J15</f>
        <v>0.0378211323828565</v>
      </c>
      <c r="H15" s="163">
        <f>ORIG!H15/ORIG!$J15</f>
        <v>0.22225259354252988</v>
      </c>
      <c r="I15" s="257"/>
      <c r="J15" s="164">
        <f>ORIG!I15/ORIG!$J15</f>
        <v>0.033435277306976846</v>
      </c>
      <c r="K15" s="161">
        <f t="shared" si="0"/>
        <v>0.9999999999999999</v>
      </c>
      <c r="L15" s="6">
        <f>SUM(K14:K15)</f>
        <v>2</v>
      </c>
      <c r="P15" s="7"/>
      <c r="Q15" s="7"/>
      <c r="R15" s="7"/>
      <c r="S15" s="7"/>
      <c r="T15" s="7"/>
      <c r="U15" s="7"/>
      <c r="V15" s="6"/>
    </row>
    <row r="16" spans="1:22" ht="12.75">
      <c r="A16" s="551">
        <v>37987</v>
      </c>
      <c r="B16" s="214" t="s">
        <v>7</v>
      </c>
      <c r="C16" s="228" t="e">
        <f>#REF!/#REF!</f>
        <v>#REF!</v>
      </c>
      <c r="D16" s="228" t="e">
        <f>#REF!/#REF!</f>
        <v>#REF!</v>
      </c>
      <c r="E16" s="228" t="e">
        <f>#REF!/#REF!</f>
        <v>#REF!</v>
      </c>
      <c r="F16" s="228" t="e">
        <f>#REF!/#REF!</f>
        <v>#REF!</v>
      </c>
      <c r="G16" s="228" t="e">
        <f>#REF!/#REF!</f>
        <v>#REF!</v>
      </c>
      <c r="H16" s="229" t="e">
        <f>#REF!/#REF!</f>
        <v>#REF!</v>
      </c>
      <c r="I16" s="258"/>
      <c r="J16" s="230" t="e">
        <f>#REF!/#REF!</f>
        <v>#REF!</v>
      </c>
      <c r="K16" s="231" t="e">
        <f>SUM(C16:J16)</f>
        <v>#REF!</v>
      </c>
      <c r="L16" s="6"/>
      <c r="P16" s="7"/>
      <c r="Q16" s="7"/>
      <c r="R16" s="7"/>
      <c r="S16" s="7"/>
      <c r="T16" s="7"/>
      <c r="U16" s="7"/>
      <c r="V16" s="6"/>
    </row>
    <row r="17" spans="1:22" ht="13.5" thickBot="1">
      <c r="A17" s="551"/>
      <c r="B17" s="219" t="s">
        <v>8</v>
      </c>
      <c r="C17" s="237" t="e">
        <f>#REF!/#REF!</f>
        <v>#REF!</v>
      </c>
      <c r="D17" s="237" t="e">
        <f>#REF!/#REF!</f>
        <v>#REF!</v>
      </c>
      <c r="E17" s="238" t="e">
        <f>#REF!/#REF!</f>
        <v>#REF!</v>
      </c>
      <c r="F17" s="237" t="e">
        <f>#REF!/#REF!</f>
        <v>#REF!</v>
      </c>
      <c r="G17" s="237" t="e">
        <f>#REF!/#REF!</f>
        <v>#REF!</v>
      </c>
      <c r="H17" s="239" t="e">
        <f>#REF!/#REF!</f>
        <v>#REF!</v>
      </c>
      <c r="I17" s="259"/>
      <c r="J17" s="240" t="e">
        <f>#REF!/#REF!</f>
        <v>#REF!</v>
      </c>
      <c r="K17" s="231" t="e">
        <f>SUM(C17:J17)</f>
        <v>#REF!</v>
      </c>
      <c r="L17" s="6" t="e">
        <f>SUM(K16:K17)</f>
        <v>#REF!</v>
      </c>
      <c r="P17" s="7"/>
      <c r="Q17" s="7"/>
      <c r="R17" s="7"/>
      <c r="S17" s="7"/>
      <c r="T17" s="7"/>
      <c r="U17" s="7"/>
      <c r="V17" s="6"/>
    </row>
    <row r="18" spans="1:21" ht="12.75">
      <c r="A18" s="541">
        <v>36192</v>
      </c>
      <c r="B18" s="234" t="s">
        <v>7</v>
      </c>
      <c r="C18" s="235">
        <f>ORIG!C16/ORIG!$J16</f>
        <v>0.23859278066599804</v>
      </c>
      <c r="D18" s="235">
        <f>ORIG!D16/ORIG!$J16</f>
        <v>0.0137363171653635</v>
      </c>
      <c r="E18" s="235">
        <f>ORIG!E16/ORIG!$J16</f>
        <v>0.0020202546440220557</v>
      </c>
      <c r="F18" s="235">
        <f>ORIG!F16/ORIG!$J16</f>
        <v>0.726438898081925</v>
      </c>
      <c r="G18" s="235">
        <f>ORIG!G16/ORIG!$J16</f>
        <v>0</v>
      </c>
      <c r="H18" s="236">
        <f>ORIG!H16/ORIG!$J16</f>
        <v>0.0021810263671519325</v>
      </c>
      <c r="I18" s="260"/>
      <c r="J18" s="233">
        <f>ORIG!I16/ORIG!$J16</f>
        <v>0.01703072307553949</v>
      </c>
      <c r="K18" s="133">
        <f t="shared" si="0"/>
        <v>1</v>
      </c>
      <c r="P18" s="7"/>
      <c r="Q18" s="7"/>
      <c r="R18" s="7"/>
      <c r="S18" s="7"/>
      <c r="T18" s="7"/>
      <c r="U18" s="7"/>
    </row>
    <row r="19" spans="1:21" ht="13.5" thickBot="1">
      <c r="A19" s="545"/>
      <c r="B19" s="51" t="s">
        <v>8</v>
      </c>
      <c r="C19" s="134">
        <f>ORIG!C17/ORIG!$J17</f>
        <v>0.37628440517643585</v>
      </c>
      <c r="D19" s="134">
        <f>ORIG!D17/ORIG!$J17</f>
        <v>0</v>
      </c>
      <c r="E19" s="134">
        <f>ORIG!E17/ORIG!$J17</f>
        <v>0.0071091051713852915</v>
      </c>
      <c r="F19" s="134">
        <f>ORIG!F17/ORIG!$J17</f>
        <v>0.5190245425446136</v>
      </c>
      <c r="G19" s="134">
        <f>ORIG!G17/ORIG!$J17</f>
        <v>0</v>
      </c>
      <c r="H19" s="135">
        <f>ORIG!H17/ORIG!$J17</f>
        <v>0.09758194710756529</v>
      </c>
      <c r="I19" s="249"/>
      <c r="J19" s="136">
        <f>ORIG!I17/ORIG!$J17</f>
        <v>0</v>
      </c>
      <c r="K19" s="133">
        <f t="shared" si="0"/>
        <v>1</v>
      </c>
      <c r="L19" s="6">
        <f>SUM(K18:K19)</f>
        <v>2</v>
      </c>
      <c r="P19" s="7"/>
      <c r="Q19" s="7"/>
      <c r="R19" s="7"/>
      <c r="S19" s="7"/>
      <c r="T19" s="7"/>
      <c r="U19" s="7"/>
    </row>
    <row r="20" spans="1:22" ht="12.75">
      <c r="A20" s="535">
        <v>36557</v>
      </c>
      <c r="B20" s="53" t="s">
        <v>7</v>
      </c>
      <c r="C20" s="137">
        <f>ORIG!C18/ORIG!$J18</f>
        <v>0.25138179964725343</v>
      </c>
      <c r="D20" s="137">
        <f>ORIG!D18/ORIG!$J18</f>
        <v>0.012999531596287054</v>
      </c>
      <c r="E20" s="137">
        <f>ORIG!E18/ORIG!$J18</f>
        <v>0.003269838499125002</v>
      </c>
      <c r="F20" s="137">
        <f>ORIG!F18/ORIG!$J18</f>
        <v>0.7236490145704625</v>
      </c>
      <c r="G20" s="137">
        <f>ORIG!G18/ORIG!$J18</f>
        <v>0</v>
      </c>
      <c r="H20" s="138">
        <f>ORIG!H18/ORIG!$J18</f>
        <v>0</v>
      </c>
      <c r="I20" s="250"/>
      <c r="J20" s="139">
        <f>ORIG!I18/ORIG!$J18</f>
        <v>0.00869981568687197</v>
      </c>
      <c r="K20" s="140">
        <f t="shared" si="0"/>
        <v>0.9999999999999999</v>
      </c>
      <c r="P20" s="7"/>
      <c r="Q20" s="7"/>
      <c r="R20" s="7"/>
      <c r="S20" s="7"/>
      <c r="T20" s="7"/>
      <c r="U20" s="7"/>
      <c r="V20" s="6"/>
    </row>
    <row r="21" spans="1:22" ht="13.5" thickBot="1">
      <c r="A21" s="535"/>
      <c r="B21" s="55" t="s">
        <v>8</v>
      </c>
      <c r="C21" s="141">
        <f>ORIG!C19/ORIG!$J19</f>
        <v>0.14865853523771505</v>
      </c>
      <c r="D21" s="141">
        <f>ORIG!D19/ORIG!$J19</f>
        <v>0</v>
      </c>
      <c r="E21" s="141">
        <f>ORIG!E19/ORIG!$J19</f>
        <v>0.0023505099426405726</v>
      </c>
      <c r="F21" s="141">
        <f>ORIG!F19/ORIG!$J19</f>
        <v>0.5335950017458332</v>
      </c>
      <c r="G21" s="141">
        <f>ORIG!G19/ORIG!$J19</f>
        <v>0</v>
      </c>
      <c r="H21" s="142">
        <f>ORIG!H19/ORIG!$J19</f>
        <v>0.31539595307381113</v>
      </c>
      <c r="I21" s="251"/>
      <c r="J21" s="143">
        <f>ORIG!I19/ORIG!$J19</f>
        <v>0</v>
      </c>
      <c r="K21" s="140">
        <f t="shared" si="0"/>
        <v>1</v>
      </c>
      <c r="L21" s="6">
        <f>SUM(K20:K21)</f>
        <v>2</v>
      </c>
      <c r="P21" s="7"/>
      <c r="Q21" s="7"/>
      <c r="R21" s="7"/>
      <c r="S21" s="7"/>
      <c r="T21" s="7"/>
      <c r="U21" s="7"/>
      <c r="V21" s="6"/>
    </row>
    <row r="22" spans="1:22" ht="12.75">
      <c r="A22" s="497">
        <f>A20+366</f>
        <v>36923</v>
      </c>
      <c r="B22" s="57" t="s">
        <v>7</v>
      </c>
      <c r="C22" s="144">
        <f>ORIG!C20/ORIG!$J20</f>
        <v>0.30318306058209266</v>
      </c>
      <c r="D22" s="144">
        <f>ORIG!D20/ORIG!$J20</f>
        <v>0.01837210071833159</v>
      </c>
      <c r="E22" s="144">
        <f>ORIG!E20/ORIG!$J20</f>
        <v>0.0037497959399229396</v>
      </c>
      <c r="F22" s="144">
        <f>ORIG!F20/ORIG!$J20</f>
        <v>0.6581514216887476</v>
      </c>
      <c r="G22" s="144">
        <f>ORIG!G20/ORIG!$J20</f>
        <v>0</v>
      </c>
      <c r="H22" s="145">
        <f>ORIG!H20/ORIG!$J20</f>
        <v>0.010843368711066916</v>
      </c>
      <c r="I22" s="252"/>
      <c r="J22" s="146">
        <f>ORIG!I20/ORIG!$J20</f>
        <v>0.005700252359838257</v>
      </c>
      <c r="K22" s="147">
        <f t="shared" si="0"/>
        <v>1</v>
      </c>
      <c r="M22" s="11"/>
      <c r="N22" s="11"/>
      <c r="P22" s="7"/>
      <c r="Q22" s="7"/>
      <c r="R22" s="7"/>
      <c r="S22" s="7"/>
      <c r="T22" s="7"/>
      <c r="U22" s="7"/>
      <c r="V22" s="6"/>
    </row>
    <row r="23" spans="1:22" ht="13.5" thickBot="1">
      <c r="A23" s="497"/>
      <c r="B23" s="59" t="s">
        <v>8</v>
      </c>
      <c r="C23" s="148">
        <f>ORIG!C21/ORIG!$J21</f>
        <v>0.12916228110506925</v>
      </c>
      <c r="D23" s="165">
        <f>ORIG!D21/ORIG!$J21</f>
        <v>0</v>
      </c>
      <c r="E23" s="148">
        <f>ORIG!E21/ORIG!$J21</f>
        <v>0.03322577811172047</v>
      </c>
      <c r="F23" s="148">
        <f>ORIG!F21/ORIG!$J21</f>
        <v>0.4987077905007968</v>
      </c>
      <c r="G23" s="148">
        <f>ORIG!G21/ORIG!$J21</f>
        <v>0</v>
      </c>
      <c r="H23" s="149">
        <f>ORIG!H21/ORIG!$J21</f>
        <v>0.3238265211417969</v>
      </c>
      <c r="I23" s="253"/>
      <c r="J23" s="150">
        <f>ORIG!I21/ORIG!$J21</f>
        <v>0.015077629140616805</v>
      </c>
      <c r="K23" s="147">
        <f t="shared" si="0"/>
        <v>1.0000000000000002</v>
      </c>
      <c r="L23" s="6">
        <f>SUM(K22:K23)</f>
        <v>2</v>
      </c>
      <c r="M23" s="11"/>
      <c r="N23" s="11"/>
      <c r="P23" s="7"/>
      <c r="Q23" s="7"/>
      <c r="R23" s="7"/>
      <c r="S23" s="7"/>
      <c r="T23" s="7"/>
      <c r="U23" s="7"/>
      <c r="V23" s="6"/>
    </row>
    <row r="24" spans="1:22" ht="12.75">
      <c r="A24" s="534">
        <v>37288</v>
      </c>
      <c r="B24" s="61" t="s">
        <v>7</v>
      </c>
      <c r="C24" s="151">
        <f>ORIG!C22/ORIG!$J22</f>
        <v>0.3214631632421024</v>
      </c>
      <c r="D24" s="151">
        <f>ORIG!D22/ORIG!$J22</f>
        <v>0.004908490275949685</v>
      </c>
      <c r="E24" s="151">
        <f>ORIG!E22/ORIG!$J22</f>
        <v>0</v>
      </c>
      <c r="F24" s="151">
        <f>ORIG!F22/ORIG!$J22</f>
        <v>0.6639376947001856</v>
      </c>
      <c r="G24" s="151">
        <f>ORIG!G22/ORIG!$J22</f>
        <v>0</v>
      </c>
      <c r="H24" s="152">
        <f>ORIG!H22/ORIG!$J22</f>
        <v>0.0014806993552917806</v>
      </c>
      <c r="I24" s="254"/>
      <c r="J24" s="153">
        <f>ORIG!I22/ORIG!$J22</f>
        <v>0.008209952426470619</v>
      </c>
      <c r="K24" s="154">
        <f t="shared" si="0"/>
        <v>1.0000000000000002</v>
      </c>
      <c r="L24" s="6"/>
      <c r="M24" s="11"/>
      <c r="N24" s="11"/>
      <c r="P24" s="7"/>
      <c r="Q24" s="7"/>
      <c r="R24" s="7"/>
      <c r="S24" s="7"/>
      <c r="T24" s="7"/>
      <c r="U24" s="7"/>
      <c r="V24" s="6"/>
    </row>
    <row r="25" spans="1:22" ht="13.5" thickBot="1">
      <c r="A25" s="534"/>
      <c r="B25" s="63" t="s">
        <v>8</v>
      </c>
      <c r="C25" s="155">
        <f>ORIG!C23/ORIG!$J23</f>
        <v>0.059790324644646</v>
      </c>
      <c r="D25" s="155">
        <f>ORIG!D23/ORIG!$J23</f>
        <v>0.2950699360901812</v>
      </c>
      <c r="E25" s="155">
        <f>ORIG!E23/ORIG!$J23</f>
        <v>0.0025112986521648316</v>
      </c>
      <c r="F25" s="155">
        <f>ORIG!F23/ORIG!$J23</f>
        <v>0.340286650314602</v>
      </c>
      <c r="G25" s="155">
        <f>ORIG!G23/ORIG!$J23</f>
        <v>0</v>
      </c>
      <c r="H25" s="156">
        <f>ORIG!H23/ORIG!$J23</f>
        <v>0.2750382863064572</v>
      </c>
      <c r="I25" s="255"/>
      <c r="J25" s="157">
        <f>ORIG!I23/ORIG!$J23</f>
        <v>0.027303503991948818</v>
      </c>
      <c r="K25" s="154">
        <f t="shared" si="0"/>
        <v>1</v>
      </c>
      <c r="L25" s="6">
        <f>SUM(K24:K25)</f>
        <v>2</v>
      </c>
      <c r="M25" s="11"/>
      <c r="N25" s="11"/>
      <c r="P25" s="7"/>
      <c r="Q25" s="7"/>
      <c r="R25" s="7"/>
      <c r="S25" s="7"/>
      <c r="T25" s="7"/>
      <c r="U25" s="7"/>
      <c r="V25" s="6"/>
    </row>
    <row r="26" spans="1:22" ht="12.75">
      <c r="A26" s="519">
        <v>37653</v>
      </c>
      <c r="B26" s="65" t="s">
        <v>7</v>
      </c>
      <c r="C26" s="158">
        <f>ORIG!C24/ORIG!$J24</f>
        <v>0.1773146342601979</v>
      </c>
      <c r="D26" s="158">
        <f>ORIG!D24/ORIG!$J24</f>
        <v>0.03415749674522875</v>
      </c>
      <c r="E26" s="158">
        <f>ORIG!E24/ORIG!$J24</f>
        <v>0</v>
      </c>
      <c r="F26" s="158">
        <f>ORIG!F24/ORIG!$J24</f>
        <v>0.784734543613008</v>
      </c>
      <c r="G26" s="158">
        <f>ORIG!G24/ORIG!$J24</f>
        <v>0</v>
      </c>
      <c r="H26" s="159">
        <f>ORIG!H24/ORIG!$J24</f>
        <v>0</v>
      </c>
      <c r="I26" s="256"/>
      <c r="J26" s="160">
        <f>ORIG!I24/ORIG!$J24</f>
        <v>0.003793325381565315</v>
      </c>
      <c r="K26" s="161">
        <f t="shared" si="0"/>
        <v>0.9999999999999999</v>
      </c>
      <c r="L26" s="6"/>
      <c r="M26" s="11"/>
      <c r="N26" s="11"/>
      <c r="P26" s="7"/>
      <c r="Q26" s="7"/>
      <c r="R26" s="7"/>
      <c r="S26" s="7"/>
      <c r="T26" s="7"/>
      <c r="U26" s="7"/>
      <c r="V26" s="6"/>
    </row>
    <row r="27" spans="1:22" ht="13.5" thickBot="1">
      <c r="A27" s="520"/>
      <c r="B27" s="68" t="s">
        <v>8</v>
      </c>
      <c r="C27" s="162">
        <f>ORIG!C25/ORIG!$J25</f>
        <v>0.31679835328231215</v>
      </c>
      <c r="D27" s="162">
        <f>ORIG!D25/ORIG!$J25</f>
        <v>0.17666761565367511</v>
      </c>
      <c r="E27" s="232">
        <f>ORIG!E25/ORIG!$J25</f>
        <v>0.04699341269771872</v>
      </c>
      <c r="F27" s="162">
        <f>ORIG!F25/ORIG!$J25</f>
        <v>0.16611537221545467</v>
      </c>
      <c r="G27" s="162">
        <f>ORIG!G25/ORIG!$J25</f>
        <v>0.018557439056921168</v>
      </c>
      <c r="H27" s="163">
        <f>ORIG!H25/ORIG!$J25</f>
        <v>0.25642447359895054</v>
      </c>
      <c r="I27" s="257"/>
      <c r="J27" s="164">
        <f>ORIG!I25/ORIG!$J25</f>
        <v>0.01844333349496774</v>
      </c>
      <c r="K27" s="161">
        <f t="shared" si="0"/>
        <v>1</v>
      </c>
      <c r="L27" s="6">
        <f>SUM(K26:K27)</f>
        <v>2</v>
      </c>
      <c r="M27" s="11"/>
      <c r="N27" s="11"/>
      <c r="P27" s="7"/>
      <c r="Q27" s="7"/>
      <c r="R27" s="7"/>
      <c r="S27" s="7"/>
      <c r="T27" s="7"/>
      <c r="U27" s="7"/>
      <c r="V27" s="6"/>
    </row>
    <row r="28" spans="1:22" ht="12.75">
      <c r="A28" s="523">
        <v>38018</v>
      </c>
      <c r="B28" s="214" t="s">
        <v>7</v>
      </c>
      <c r="C28" s="228" t="e">
        <f>#REF!/#REF!</f>
        <v>#REF!</v>
      </c>
      <c r="D28" s="228" t="e">
        <f>#REF!/#REF!</f>
        <v>#REF!</v>
      </c>
      <c r="E28" s="228" t="e">
        <f>#REF!/#REF!</f>
        <v>#REF!</v>
      </c>
      <c r="F28" s="228" t="e">
        <f>#REF!/#REF!</f>
        <v>#REF!</v>
      </c>
      <c r="G28" s="228" t="e">
        <f>#REF!/#REF!</f>
        <v>#REF!</v>
      </c>
      <c r="H28" s="229" t="e">
        <f>#REF!/#REF!</f>
        <v>#REF!</v>
      </c>
      <c r="I28" s="258"/>
      <c r="J28" s="230" t="e">
        <f>#REF!/#REF!</f>
        <v>#REF!</v>
      </c>
      <c r="K28" s="231" t="e">
        <f>SUM(C28:J28)</f>
        <v>#REF!</v>
      </c>
      <c r="L28" s="6"/>
      <c r="M28" s="11"/>
      <c r="N28" s="11"/>
      <c r="P28" s="7"/>
      <c r="Q28" s="7"/>
      <c r="R28" s="7"/>
      <c r="S28" s="7"/>
      <c r="T28" s="7"/>
      <c r="U28" s="7"/>
      <c r="V28" s="6"/>
    </row>
    <row r="29" spans="1:22" ht="13.5" thickBot="1">
      <c r="A29" s="524"/>
      <c r="B29" s="223" t="s">
        <v>8</v>
      </c>
      <c r="C29" s="237" t="e">
        <f>#REF!/#REF!</f>
        <v>#REF!</v>
      </c>
      <c r="D29" s="237" t="e">
        <f>#REF!/#REF!</f>
        <v>#REF!</v>
      </c>
      <c r="E29" s="237" t="e">
        <f>#REF!/#REF!</f>
        <v>#REF!</v>
      </c>
      <c r="F29" s="237" t="e">
        <f>#REF!/#REF!</f>
        <v>#REF!</v>
      </c>
      <c r="G29" s="237" t="e">
        <f>#REF!/#REF!</f>
        <v>#REF!</v>
      </c>
      <c r="H29" s="237" t="e">
        <f>#REF!/#REF!</f>
        <v>#REF!</v>
      </c>
      <c r="I29" s="259"/>
      <c r="J29" s="240" t="e">
        <f>#REF!/#REF!</f>
        <v>#REF!</v>
      </c>
      <c r="K29" s="231" t="e">
        <f>SUM(C29:J29)</f>
        <v>#REF!</v>
      </c>
      <c r="L29" s="6" t="e">
        <f>SUM(K28:K29)</f>
        <v>#REF!</v>
      </c>
      <c r="M29" s="11"/>
      <c r="N29" s="11"/>
      <c r="P29" s="7"/>
      <c r="Q29" s="7"/>
      <c r="R29" s="7"/>
      <c r="S29" s="7"/>
      <c r="T29" s="7"/>
      <c r="U29" s="7"/>
      <c r="V29" s="6"/>
    </row>
    <row r="30" spans="1:22" ht="12.75">
      <c r="A30" s="545">
        <v>36220</v>
      </c>
      <c r="B30" s="49" t="s">
        <v>7</v>
      </c>
      <c r="C30" s="130">
        <f>ORIG!C26/ORIG!$J26</f>
        <v>0.26332592869302873</v>
      </c>
      <c r="D30" s="130">
        <f>ORIG!D26/ORIG!$J26</f>
        <v>0.015585104411131484</v>
      </c>
      <c r="E30" s="130">
        <f>ORIG!E26/ORIG!$J26</f>
        <v>0.007564709807488857</v>
      </c>
      <c r="F30" s="130">
        <f>ORIG!F26/ORIG!$J26</f>
        <v>0.6957280263259201</v>
      </c>
      <c r="G30" s="130">
        <f>ORIG!G26/ORIG!$J26</f>
        <v>0</v>
      </c>
      <c r="H30" s="131">
        <f>ORIG!H26/ORIG!$J26</f>
        <v>0.0002777453012852136</v>
      </c>
      <c r="I30" s="248"/>
      <c r="J30" s="132">
        <f>ORIG!I26/ORIG!$J26</f>
        <v>0.0175184854611456</v>
      </c>
      <c r="K30" s="133">
        <f t="shared" si="0"/>
        <v>1</v>
      </c>
      <c r="P30" s="7"/>
      <c r="Q30" s="7"/>
      <c r="R30" s="7"/>
      <c r="S30" s="7"/>
      <c r="T30" s="7"/>
      <c r="U30" s="7"/>
      <c r="V30" s="6"/>
    </row>
    <row r="31" spans="1:21" ht="13.5" thickBot="1">
      <c r="A31" s="545"/>
      <c r="B31" s="51" t="s">
        <v>8</v>
      </c>
      <c r="C31" s="134">
        <f>ORIG!C27/ORIG!$J27</f>
        <v>0.319298816006936</v>
      </c>
      <c r="D31" s="134">
        <f>ORIG!D27/ORIG!$J27</f>
        <v>0</v>
      </c>
      <c r="E31" s="134">
        <f>ORIG!E27/ORIG!$J27</f>
        <v>0.0009618250291256875</v>
      </c>
      <c r="F31" s="134">
        <f>ORIG!F27/ORIG!$J27</f>
        <v>0.45377821127638246</v>
      </c>
      <c r="G31" s="134">
        <f>ORIG!G27/ORIG!$J27</f>
        <v>0</v>
      </c>
      <c r="H31" s="135">
        <f>ORIG!H27/ORIG!$J27</f>
        <v>0.22596114768755587</v>
      </c>
      <c r="I31" s="249"/>
      <c r="J31" s="136">
        <f>ORIG!I27/ORIG!$J27</f>
        <v>0</v>
      </c>
      <c r="K31" s="133">
        <f t="shared" si="0"/>
        <v>1</v>
      </c>
      <c r="L31" s="6">
        <f>SUM(K30:K31)</f>
        <v>2</v>
      </c>
      <c r="P31" s="7"/>
      <c r="Q31" s="7"/>
      <c r="R31" s="7"/>
      <c r="S31" s="7"/>
      <c r="T31" s="7"/>
      <c r="U31" s="7"/>
    </row>
    <row r="32" spans="1:21" ht="12.75">
      <c r="A32" s="535">
        <v>36586</v>
      </c>
      <c r="B32" s="53" t="s">
        <v>7</v>
      </c>
      <c r="C32" s="137">
        <f>ORIG!C28/ORIG!$J28</f>
        <v>0.2992543031216322</v>
      </c>
      <c r="D32" s="137">
        <f>ORIG!D28/ORIG!$J28</f>
        <v>0.020236840571107893</v>
      </c>
      <c r="E32" s="137">
        <f>ORIG!E28/ORIG!$J28</f>
        <v>0.004919929785656375</v>
      </c>
      <c r="F32" s="137">
        <f>ORIG!F28/ORIG!$J28</f>
        <v>0.6557332711153295</v>
      </c>
      <c r="G32" s="137">
        <f>ORIG!G28/ORIG!$J28</f>
        <v>0</v>
      </c>
      <c r="H32" s="138">
        <f>ORIG!H28/ORIG!$J28</f>
        <v>0.013843708995517108</v>
      </c>
      <c r="I32" s="250"/>
      <c r="J32" s="139">
        <f>ORIG!I28/ORIG!$J28</f>
        <v>0.006011946410756933</v>
      </c>
      <c r="K32" s="140">
        <f t="shared" si="0"/>
        <v>1</v>
      </c>
      <c r="M32" s="11"/>
      <c r="N32" s="11"/>
      <c r="P32" s="7"/>
      <c r="Q32" s="7"/>
      <c r="R32" s="7"/>
      <c r="S32" s="7"/>
      <c r="T32" s="7"/>
      <c r="U32" s="7"/>
    </row>
    <row r="33" spans="1:21" ht="13.5" thickBot="1">
      <c r="A33" s="535"/>
      <c r="B33" s="55" t="s">
        <v>8</v>
      </c>
      <c r="C33" s="141">
        <f>ORIG!C29/ORIG!$J29</f>
        <v>0.12655840409190103</v>
      </c>
      <c r="D33" s="141">
        <f>ORIG!D29/ORIG!$J29</f>
        <v>0</v>
      </c>
      <c r="E33" s="141">
        <f>ORIG!E29/ORIG!$J29</f>
        <v>0.0038881008201989416</v>
      </c>
      <c r="F33" s="141">
        <f>ORIG!F29/ORIG!$J29</f>
        <v>0.6233548782243327</v>
      </c>
      <c r="G33" s="141">
        <f>ORIG!G29/ORIG!$J29</f>
        <v>0</v>
      </c>
      <c r="H33" s="142">
        <f>ORIG!H29/ORIG!$J29</f>
        <v>0.2461986168635674</v>
      </c>
      <c r="I33" s="251"/>
      <c r="J33" s="143">
        <f>ORIG!I29/ORIG!$J29</f>
        <v>0</v>
      </c>
      <c r="K33" s="140">
        <f t="shared" si="0"/>
        <v>1</v>
      </c>
      <c r="L33" s="6">
        <f>SUM(K32:K33)</f>
        <v>2</v>
      </c>
      <c r="M33" s="11"/>
      <c r="N33" s="11"/>
      <c r="P33" s="7"/>
      <c r="Q33" s="7"/>
      <c r="R33" s="7"/>
      <c r="S33" s="7"/>
      <c r="T33" s="7"/>
      <c r="U33" s="7"/>
    </row>
    <row r="34" spans="1:21" ht="12.75">
      <c r="A34" s="497">
        <f>A32+366</f>
        <v>36952</v>
      </c>
      <c r="B34" s="57" t="s">
        <v>7</v>
      </c>
      <c r="C34" s="144">
        <f>ORIG!C30/ORIG!$J30</f>
        <v>0.34510456250415816</v>
      </c>
      <c r="D34" s="144">
        <f>ORIG!D30/ORIG!$J30</f>
        <v>0.023111894931752936</v>
      </c>
      <c r="E34" s="144">
        <f>ORIG!E30/ORIG!$J30</f>
        <v>0.0018684938322634948</v>
      </c>
      <c r="F34" s="144">
        <f>ORIG!F30/ORIG!$J30</f>
        <v>0.6045454105277888</v>
      </c>
      <c r="G34" s="144">
        <f>ORIG!G30/ORIG!$J30</f>
        <v>0</v>
      </c>
      <c r="H34" s="145">
        <f>ORIG!H30/ORIG!$J30</f>
        <v>0.01688842941242816</v>
      </c>
      <c r="I34" s="252"/>
      <c r="J34" s="146">
        <f>ORIG!I30/ORIG!$J30</f>
        <v>0.008481208791608541</v>
      </c>
      <c r="K34" s="147">
        <f t="shared" si="0"/>
        <v>1</v>
      </c>
      <c r="M34" s="11"/>
      <c r="N34" s="11"/>
      <c r="P34" s="7"/>
      <c r="Q34" s="7"/>
      <c r="R34" s="7"/>
      <c r="S34" s="7"/>
      <c r="T34" s="7"/>
      <c r="U34" s="7"/>
    </row>
    <row r="35" spans="1:21" ht="13.5" thickBot="1">
      <c r="A35" s="497"/>
      <c r="B35" s="59" t="s">
        <v>8</v>
      </c>
      <c r="C35" s="148">
        <f>ORIG!C31/ORIG!$J31</f>
        <v>0.09354151496496736</v>
      </c>
      <c r="D35" s="165">
        <f>ORIG!D31/ORIG!$J31</f>
        <v>0</v>
      </c>
      <c r="E35" s="148">
        <f>ORIG!E31/ORIG!$J31</f>
        <v>0.03225848563141064</v>
      </c>
      <c r="F35" s="148">
        <f>ORIG!F31/ORIG!$J31</f>
        <v>0.6008015367393389</v>
      </c>
      <c r="G35" s="148">
        <f>ORIG!G31/ORIG!$J31</f>
        <v>0</v>
      </c>
      <c r="H35" s="149">
        <f>ORIG!H31/ORIG!$J31</f>
        <v>0.26179806513842535</v>
      </c>
      <c r="I35" s="253"/>
      <c r="J35" s="150">
        <f>ORIG!I31/ORIG!$J31</f>
        <v>0.011600397525857741</v>
      </c>
      <c r="K35" s="147">
        <f t="shared" si="0"/>
        <v>0.9999999999999999</v>
      </c>
      <c r="L35" s="6">
        <f>SUM(K34:K35)</f>
        <v>2</v>
      </c>
      <c r="M35" s="11"/>
      <c r="N35" s="11"/>
      <c r="P35" s="7"/>
      <c r="Q35" s="7"/>
      <c r="R35" s="7"/>
      <c r="S35" s="7"/>
      <c r="T35" s="7"/>
      <c r="U35" s="7"/>
    </row>
    <row r="36" spans="1:21" ht="12.75">
      <c r="A36" s="534">
        <v>37316</v>
      </c>
      <c r="B36" s="70" t="s">
        <v>7</v>
      </c>
      <c r="C36" s="151">
        <f>ORIG!C32/ORIG!$J32</f>
        <v>0.31200355163918436</v>
      </c>
      <c r="D36" s="151">
        <f>ORIG!D32/ORIG!$J32</f>
        <v>0.01189047205613684</v>
      </c>
      <c r="E36" s="151">
        <f>ORIG!E32/ORIG!$J32</f>
        <v>0</v>
      </c>
      <c r="F36" s="151">
        <f>ORIG!F32/ORIG!$J32</f>
        <v>0.6569110444532222</v>
      </c>
      <c r="G36" s="151">
        <f>ORIG!G32/ORIG!$J32</f>
        <v>0</v>
      </c>
      <c r="H36" s="152">
        <f>ORIG!H32/ORIG!$J32</f>
        <v>0.015107705197988765</v>
      </c>
      <c r="I36" s="254"/>
      <c r="J36" s="153">
        <f>ORIG!I32/ORIG!$J32</f>
        <v>0.0040872266534679414</v>
      </c>
      <c r="K36" s="166">
        <f t="shared" si="0"/>
        <v>1</v>
      </c>
      <c r="M36" s="11"/>
      <c r="N36" s="11"/>
      <c r="P36" s="7"/>
      <c r="Q36" s="7"/>
      <c r="R36" s="7"/>
      <c r="S36" s="7"/>
      <c r="T36" s="7"/>
      <c r="U36" s="7"/>
    </row>
    <row r="37" spans="1:21" ht="13.5" thickBot="1">
      <c r="A37" s="534">
        <v>37316</v>
      </c>
      <c r="B37" s="71" t="s">
        <v>8</v>
      </c>
      <c r="C37" s="155">
        <f>ORIG!C33/ORIG!$J33</f>
        <v>0.061776318650105015</v>
      </c>
      <c r="D37" s="155">
        <f>ORIG!D33/ORIG!$J33</f>
        <v>0.28186439186038664</v>
      </c>
      <c r="E37" s="155">
        <f>ORIG!E33/ORIG!$J33</f>
        <v>0.0033809592322917668</v>
      </c>
      <c r="F37" s="155">
        <f>ORIG!F33/ORIG!$J33</f>
        <v>0.3228549756791761</v>
      </c>
      <c r="G37" s="155">
        <f>ORIG!G33/ORIG!$J33</f>
        <v>0</v>
      </c>
      <c r="H37" s="156">
        <f>ORIG!H33/ORIG!$J33</f>
        <v>0.3132287630405019</v>
      </c>
      <c r="I37" s="255"/>
      <c r="J37" s="157">
        <f>ORIG!I33/ORIG!$J33</f>
        <v>0.0168945915375387</v>
      </c>
      <c r="K37" s="166">
        <f t="shared" si="0"/>
        <v>1.0000000000000002</v>
      </c>
      <c r="L37" s="6">
        <f>SUM(K36:K37)</f>
        <v>2</v>
      </c>
      <c r="M37" s="11"/>
      <c r="N37" s="11"/>
      <c r="P37" s="7"/>
      <c r="Q37" s="7"/>
      <c r="R37" s="7"/>
      <c r="S37" s="7"/>
      <c r="T37" s="7"/>
      <c r="U37" s="7"/>
    </row>
    <row r="38" spans="1:21" ht="12.75">
      <c r="A38" s="519">
        <v>37681</v>
      </c>
      <c r="B38" s="112" t="s">
        <v>7</v>
      </c>
      <c r="C38" s="158">
        <f>ORIG!C34/ORIG!$J34</f>
        <v>0.2018865443224467</v>
      </c>
      <c r="D38" s="158">
        <f>ORIG!D34/ORIG!$J34</f>
        <v>0.034882854806316387</v>
      </c>
      <c r="E38" s="158">
        <f>ORIG!E34/ORIG!$J34</f>
        <v>0</v>
      </c>
      <c r="F38" s="158">
        <f>ORIG!F34/ORIG!$J34</f>
        <v>0.6612245688298105</v>
      </c>
      <c r="G38" s="158">
        <f>ORIG!G34/ORIG!$J34</f>
        <v>0</v>
      </c>
      <c r="H38" s="159">
        <f>ORIG!H34/ORIG!$J34</f>
        <v>0.07672020144290126</v>
      </c>
      <c r="I38" s="256"/>
      <c r="J38" s="160">
        <f>ORIG!I34/ORIG!$J34</f>
        <v>0.0252858305985253</v>
      </c>
      <c r="K38" s="167">
        <f t="shared" si="0"/>
        <v>1.0000000000000002</v>
      </c>
      <c r="L38" s="6"/>
      <c r="M38" s="11"/>
      <c r="N38" s="11"/>
      <c r="P38" s="7"/>
      <c r="Q38" s="7"/>
      <c r="R38" s="7"/>
      <c r="S38" s="7"/>
      <c r="T38" s="7"/>
      <c r="U38" s="7"/>
    </row>
    <row r="39" spans="1:21" ht="13.5" thickBot="1">
      <c r="A39" s="520"/>
      <c r="B39" s="114" t="s">
        <v>8</v>
      </c>
      <c r="C39" s="162">
        <f>ORIG!C35/ORIG!$J35</f>
        <v>0.3485819956412524</v>
      </c>
      <c r="D39" s="162">
        <f>ORIG!D35/ORIG!$J35</f>
        <v>0.1856521255457159</v>
      </c>
      <c r="E39" s="162">
        <f>ORIG!E35/ORIG!$J35</f>
        <v>0.07186096332854483</v>
      </c>
      <c r="F39" s="162">
        <f>ORIG!F35/ORIG!$J35</f>
        <v>0.21549720179970822</v>
      </c>
      <c r="G39" s="162">
        <f>ORIG!G35/ORIG!$J35</f>
        <v>0.012494291829531868</v>
      </c>
      <c r="H39" s="163">
        <f>ORIG!H35/ORIG!$J35</f>
        <v>0.16229997159272175</v>
      </c>
      <c r="I39" s="257"/>
      <c r="J39" s="164">
        <f>ORIG!I35/ORIG!$J35</f>
        <v>0.003613450262524882</v>
      </c>
      <c r="K39" s="167">
        <f t="shared" si="0"/>
        <v>1</v>
      </c>
      <c r="L39" s="6">
        <f>SUM(K38:K39)</f>
        <v>2</v>
      </c>
      <c r="M39" s="11"/>
      <c r="N39" s="11"/>
      <c r="P39" s="7"/>
      <c r="Q39" s="7"/>
      <c r="R39" s="7"/>
      <c r="S39" s="7"/>
      <c r="T39" s="7"/>
      <c r="U39" s="7"/>
    </row>
    <row r="40" spans="1:21" ht="12.75">
      <c r="A40" s="523">
        <v>38047</v>
      </c>
      <c r="B40" s="214" t="s">
        <v>7</v>
      </c>
      <c r="C40" s="228" t="e">
        <f>#REF!/#REF!</f>
        <v>#REF!</v>
      </c>
      <c r="D40" s="228" t="e">
        <f>#REF!/#REF!</f>
        <v>#REF!</v>
      </c>
      <c r="E40" s="228" t="e">
        <f>#REF!/#REF!</f>
        <v>#REF!</v>
      </c>
      <c r="F40" s="228" t="e">
        <f>#REF!/#REF!</f>
        <v>#REF!</v>
      </c>
      <c r="G40" s="228" t="e">
        <f>#REF!/#REF!</f>
        <v>#REF!</v>
      </c>
      <c r="H40" s="229" t="e">
        <f>#REF!/#REF!</f>
        <v>#REF!</v>
      </c>
      <c r="I40" s="258"/>
      <c r="J40" s="230" t="e">
        <f>#REF!/#REF!</f>
        <v>#REF!</v>
      </c>
      <c r="K40" s="231" t="e">
        <f>SUM(C40:J40)</f>
        <v>#REF!</v>
      </c>
      <c r="L40" s="6"/>
      <c r="M40" s="11"/>
      <c r="N40" s="11"/>
      <c r="P40" s="7"/>
      <c r="Q40" s="7"/>
      <c r="R40" s="7"/>
      <c r="S40" s="7"/>
      <c r="T40" s="7"/>
      <c r="U40" s="7"/>
    </row>
    <row r="41" spans="1:21" ht="13.5" thickBot="1">
      <c r="A41" s="524"/>
      <c r="B41" s="223" t="s">
        <v>8</v>
      </c>
      <c r="C41" s="237" t="e">
        <f>#REF!/#REF!</f>
        <v>#REF!</v>
      </c>
      <c r="D41" s="237" t="e">
        <f>#REF!/#REF!</f>
        <v>#REF!</v>
      </c>
      <c r="E41" s="237" t="e">
        <f>#REF!/#REF!</f>
        <v>#REF!</v>
      </c>
      <c r="F41" s="237" t="e">
        <f>#REF!/#REF!</f>
        <v>#REF!</v>
      </c>
      <c r="G41" s="237" t="e">
        <f>#REF!/#REF!</f>
        <v>#REF!</v>
      </c>
      <c r="H41" s="237" t="e">
        <f>#REF!/#REF!</f>
        <v>#REF!</v>
      </c>
      <c r="I41" s="259"/>
      <c r="J41" s="240" t="e">
        <f>#REF!/#REF!</f>
        <v>#REF!</v>
      </c>
      <c r="K41" s="231" t="e">
        <f>SUM(C41:J41)</f>
        <v>#REF!</v>
      </c>
      <c r="L41" s="6" t="e">
        <f>SUM(K40:K41)</f>
        <v>#REF!</v>
      </c>
      <c r="M41" s="11"/>
      <c r="N41" s="11"/>
      <c r="P41" s="7"/>
      <c r="Q41" s="7"/>
      <c r="R41" s="7"/>
      <c r="S41" s="7"/>
      <c r="T41" s="7"/>
      <c r="U41" s="7"/>
    </row>
    <row r="42" spans="1:21" ht="12.75">
      <c r="A42" s="545">
        <v>36251</v>
      </c>
      <c r="B42" s="49" t="s">
        <v>7</v>
      </c>
      <c r="C42" s="130">
        <f>ORIG!C36/ORIG!$J36</f>
        <v>0.2740518998631268</v>
      </c>
      <c r="D42" s="130">
        <f>ORIG!D36/ORIG!$J36</f>
        <v>0.01843555400133867</v>
      </c>
      <c r="E42" s="130">
        <f>ORIG!E36/ORIG!$J36</f>
        <v>0.0056076206694105814</v>
      </c>
      <c r="F42" s="130">
        <f>ORIG!F36/ORIG!$J36</f>
        <v>0.6895455608812825</v>
      </c>
      <c r="G42" s="130">
        <f>ORIG!G36/ORIG!$J36</f>
        <v>0</v>
      </c>
      <c r="H42" s="131">
        <f>ORIG!H36/ORIG!$J36</f>
        <v>0</v>
      </c>
      <c r="I42" s="248"/>
      <c r="J42" s="132">
        <f>ORIG!I36/ORIG!$J36</f>
        <v>0.012359364584841525</v>
      </c>
      <c r="K42" s="133">
        <f t="shared" si="0"/>
        <v>1</v>
      </c>
      <c r="M42" s="11"/>
      <c r="N42" s="11"/>
      <c r="P42" s="7"/>
      <c r="Q42" s="7"/>
      <c r="R42" s="7"/>
      <c r="S42" s="7"/>
      <c r="T42" s="7"/>
      <c r="U42" s="7"/>
    </row>
    <row r="43" spans="1:21" ht="13.5" thickBot="1">
      <c r="A43" s="545"/>
      <c r="B43" s="51" t="s">
        <v>8</v>
      </c>
      <c r="C43" s="134">
        <f>ORIG!C37/ORIG!$J37</f>
        <v>0.5421489227432202</v>
      </c>
      <c r="D43" s="134">
        <f>ORIG!D37/ORIG!$J37</f>
        <v>0</v>
      </c>
      <c r="E43" s="134">
        <f>ORIG!E37/ORIG!$J37</f>
        <v>0.00731692835085105</v>
      </c>
      <c r="F43" s="134">
        <f>ORIG!F37/ORIG!$J37</f>
        <v>0.42937364466053396</v>
      </c>
      <c r="G43" s="134">
        <f>ORIG!G37/ORIG!$J37</f>
        <v>0</v>
      </c>
      <c r="H43" s="135">
        <f>ORIG!H37/ORIG!$J37</f>
        <v>0.021160504245394802</v>
      </c>
      <c r="I43" s="249"/>
      <c r="J43" s="136">
        <f>ORIG!I37/ORIG!$J37</f>
        <v>0</v>
      </c>
      <c r="K43" s="133">
        <f t="shared" si="0"/>
        <v>1</v>
      </c>
      <c r="L43" s="6">
        <f>SUM(K42:K43)</f>
        <v>2</v>
      </c>
      <c r="P43" s="7"/>
      <c r="Q43" s="7"/>
      <c r="R43" s="7"/>
      <c r="S43" s="7"/>
      <c r="T43" s="7"/>
      <c r="U43" s="7"/>
    </row>
    <row r="44" spans="1:21" ht="12.75">
      <c r="A44" s="535">
        <v>36617</v>
      </c>
      <c r="B44" s="53" t="s">
        <v>7</v>
      </c>
      <c r="C44" s="137">
        <f>ORIG!C38/ORIG!$J38</f>
        <v>0.2995089563631422</v>
      </c>
      <c r="D44" s="137">
        <f>ORIG!D38/ORIG!$J38</f>
        <v>0.012150223968432095</v>
      </c>
      <c r="E44" s="137">
        <f>ORIG!E38/ORIG!$J38</f>
        <v>0.006138294483463999</v>
      </c>
      <c r="F44" s="137">
        <f>ORIG!F38/ORIG!$J38</f>
        <v>0.6628442387394275</v>
      </c>
      <c r="G44" s="137">
        <f>ORIG!G38/ORIG!$J38</f>
        <v>0</v>
      </c>
      <c r="H44" s="138">
        <f>ORIG!H38/ORIG!$J38</f>
        <v>0.01359888848830554</v>
      </c>
      <c r="I44" s="250"/>
      <c r="J44" s="139">
        <f>ORIG!I38/ORIG!$J38</f>
        <v>0.0057593979572286335</v>
      </c>
      <c r="K44" s="140">
        <f t="shared" si="0"/>
        <v>1</v>
      </c>
      <c r="L44" s="6"/>
      <c r="P44" s="7"/>
      <c r="Q44" s="7"/>
      <c r="R44" s="7"/>
      <c r="S44" s="7"/>
      <c r="T44" s="7"/>
      <c r="U44" s="7"/>
    </row>
    <row r="45" spans="1:21" ht="12.75">
      <c r="A45" s="535"/>
      <c r="B45" s="40" t="s">
        <v>8</v>
      </c>
      <c r="C45" s="168">
        <f>ORIG!C39/ORIG!$J39</f>
        <v>0.18458194473847</v>
      </c>
      <c r="D45" s="168">
        <f>ORIG!D39/ORIG!$J39</f>
        <v>0</v>
      </c>
      <c r="E45" s="168">
        <f>ORIG!E39/ORIG!$J39</f>
        <v>0.009285264404656523</v>
      </c>
      <c r="F45" s="168">
        <f>ORIG!F39/ORIG!$J39</f>
        <v>0.6099339613193494</v>
      </c>
      <c r="G45" s="168">
        <f>ORIG!G39/ORIG!$J39</f>
        <v>0</v>
      </c>
      <c r="H45" s="169">
        <f>ORIG!H39/ORIG!$J39</f>
        <v>0.19619882953752404</v>
      </c>
      <c r="I45" s="261"/>
      <c r="J45" s="170">
        <f>ORIG!I39/ORIG!$J39</f>
        <v>0</v>
      </c>
      <c r="K45" s="140">
        <f t="shared" si="0"/>
        <v>1</v>
      </c>
      <c r="L45" s="6">
        <f>SUM(K44:K45)</f>
        <v>2</v>
      </c>
      <c r="P45" s="7"/>
      <c r="Q45" s="7"/>
      <c r="R45" s="7"/>
      <c r="S45" s="7"/>
      <c r="T45" s="7"/>
      <c r="U45" s="7"/>
    </row>
    <row r="46" spans="1:21" ht="12.75">
      <c r="A46" s="497">
        <f>A44+366</f>
        <v>36983</v>
      </c>
      <c r="B46" s="26" t="s">
        <v>7</v>
      </c>
      <c r="C46" s="171">
        <f>ORIG!C40/ORIG!$J40</f>
        <v>0.3174911729621302</v>
      </c>
      <c r="D46" s="171">
        <f>ORIG!D40/ORIG!$J40</f>
        <v>0.017756641954754977</v>
      </c>
      <c r="E46" s="171">
        <f>ORIG!E40/ORIG!$J40</f>
        <v>0.002522495683072385</v>
      </c>
      <c r="F46" s="171">
        <f>ORIG!F40/ORIG!$J40</f>
        <v>0.6347921382877205</v>
      </c>
      <c r="G46" s="171">
        <f>ORIG!G40/ORIG!$J40</f>
        <v>0</v>
      </c>
      <c r="H46" s="172">
        <f>ORIG!H40/ORIG!$J40</f>
        <v>0.016153649084025286</v>
      </c>
      <c r="I46" s="262"/>
      <c r="J46" s="173">
        <f>ORIG!I40/ORIG!$J40</f>
        <v>0.011283902028296515</v>
      </c>
      <c r="K46" s="147">
        <f t="shared" si="0"/>
        <v>0.9999999999999999</v>
      </c>
      <c r="M46" s="11"/>
      <c r="N46" s="11"/>
      <c r="P46" s="7"/>
      <c r="Q46" s="7"/>
      <c r="R46" s="7"/>
      <c r="S46" s="7"/>
      <c r="T46" s="7"/>
      <c r="U46" s="7"/>
    </row>
    <row r="47" spans="1:21" ht="12.75">
      <c r="A47" s="497"/>
      <c r="B47" s="28" t="s">
        <v>8</v>
      </c>
      <c r="C47" s="174">
        <f>ORIG!C41/ORIG!$J41</f>
        <v>0.13096680828020035</v>
      </c>
      <c r="D47" s="174">
        <f>ORIG!D41/ORIG!$J41</f>
        <v>0</v>
      </c>
      <c r="E47" s="174">
        <f>ORIG!E41/ORIG!$J41</f>
        <v>0.018232228506777647</v>
      </c>
      <c r="F47" s="174">
        <f>ORIG!F41/ORIG!$J41</f>
        <v>0.5520930560162978</v>
      </c>
      <c r="G47" s="174">
        <f>ORIG!G41/ORIG!$J41</f>
        <v>0</v>
      </c>
      <c r="H47" s="175">
        <f>ORIG!H41/ORIG!$J41</f>
        <v>0.283486461997577</v>
      </c>
      <c r="I47" s="263"/>
      <c r="J47" s="176">
        <f>ORIG!I41/ORIG!$J41</f>
        <v>0.015221445199147145</v>
      </c>
      <c r="K47" s="147">
        <f t="shared" si="0"/>
        <v>0.9999999999999999</v>
      </c>
      <c r="L47" s="6">
        <f>SUM(K46:K47)</f>
        <v>1.9999999999999998</v>
      </c>
      <c r="M47" s="11"/>
      <c r="N47" s="11"/>
      <c r="P47" s="7"/>
      <c r="Q47" s="7"/>
      <c r="R47" s="7"/>
      <c r="S47" s="7"/>
      <c r="T47" s="7"/>
      <c r="U47" s="7"/>
    </row>
    <row r="48" spans="1:21" ht="12.75">
      <c r="A48" s="534">
        <v>37347</v>
      </c>
      <c r="B48" s="30" t="s">
        <v>7</v>
      </c>
      <c r="C48" s="177">
        <f>ORIG!C42/ORIG!$J42</f>
        <v>0.28033876919440043</v>
      </c>
      <c r="D48" s="177">
        <f>ORIG!D42/ORIG!$J42</f>
        <v>0.012647370530243392</v>
      </c>
      <c r="E48" s="177">
        <f>ORIG!E42/ORIG!$J42</f>
        <v>0</v>
      </c>
      <c r="F48" s="177">
        <f>ORIG!F42/ORIG!$J42</f>
        <v>0.6556461601570579</v>
      </c>
      <c r="G48" s="177">
        <f>ORIG!G42/ORIG!$J42</f>
        <v>0</v>
      </c>
      <c r="H48" s="178">
        <f>ORIG!H42/ORIG!$J42</f>
        <v>0.04453447031937848</v>
      </c>
      <c r="I48" s="264"/>
      <c r="J48" s="179">
        <f>ORIG!I42/ORIG!$J42</f>
        <v>0.006833229798919678</v>
      </c>
      <c r="K48" s="166">
        <f t="shared" si="0"/>
        <v>0.9999999999999999</v>
      </c>
      <c r="L48" s="6"/>
      <c r="M48" s="11"/>
      <c r="N48" s="11"/>
      <c r="P48" s="7"/>
      <c r="Q48" s="7"/>
      <c r="R48" s="7"/>
      <c r="S48" s="7"/>
      <c r="T48" s="7"/>
      <c r="U48" s="7"/>
    </row>
    <row r="49" spans="1:21" ht="12.75">
      <c r="A49" s="534"/>
      <c r="B49" s="32" t="s">
        <v>8</v>
      </c>
      <c r="C49" s="180">
        <f>ORIG!C43/ORIG!$J43</f>
        <v>0.0709151143524929</v>
      </c>
      <c r="D49" s="180">
        <f>ORIG!D43/ORIG!$J43</f>
        <v>0.24389501245970407</v>
      </c>
      <c r="E49" s="180">
        <f>ORIG!E43/ORIG!$J43</f>
        <v>0.06531143611555115</v>
      </c>
      <c r="F49" s="180">
        <f>ORIG!F43/ORIG!$J43</f>
        <v>0.2841684582890879</v>
      </c>
      <c r="G49" s="180">
        <f>ORIG!G43/ORIG!$J43</f>
        <v>0.03401765581995336</v>
      </c>
      <c r="H49" s="181">
        <f>ORIG!H43/ORIG!$J43</f>
        <v>0.28292391501712755</v>
      </c>
      <c r="I49" s="265"/>
      <c r="J49" s="182">
        <f>ORIG!I43/ORIG!$J43</f>
        <v>0.018768407946083046</v>
      </c>
      <c r="K49" s="166">
        <f t="shared" si="0"/>
        <v>0.9999999999999999</v>
      </c>
      <c r="L49" s="6">
        <f>SUM(K48:K49)</f>
        <v>1.9999999999999998</v>
      </c>
      <c r="M49" s="11"/>
      <c r="N49" s="11"/>
      <c r="P49" s="7"/>
      <c r="Q49" s="7"/>
      <c r="R49" s="7"/>
      <c r="S49" s="7"/>
      <c r="T49" s="7"/>
      <c r="U49" s="7"/>
    </row>
    <row r="50" spans="1:21" ht="12.75">
      <c r="A50" s="519">
        <v>37712</v>
      </c>
      <c r="B50" s="115" t="s">
        <v>7</v>
      </c>
      <c r="C50" s="183">
        <f>ORIG!C44/ORIG!$J44</f>
        <v>0.3367711789461541</v>
      </c>
      <c r="D50" s="183">
        <f>ORIG!D44/ORIG!$J44</f>
        <v>0.02968806117833437</v>
      </c>
      <c r="E50" s="183">
        <f>ORIG!E44/ORIG!$J44</f>
        <v>0</v>
      </c>
      <c r="F50" s="183">
        <f>ORIG!F44/ORIG!$J44</f>
        <v>0.6182659422674918</v>
      </c>
      <c r="G50" s="183">
        <f>ORIG!G44/ORIG!$J44</f>
        <v>0</v>
      </c>
      <c r="H50" s="184">
        <f>ORIG!H44/ORIG!$J44</f>
        <v>0.007926968243925105</v>
      </c>
      <c r="I50" s="266"/>
      <c r="J50" s="185">
        <f>ORIG!I44/ORIG!$J44</f>
        <v>0.007347849364094822</v>
      </c>
      <c r="K50" s="167">
        <f t="shared" si="0"/>
        <v>1.0000000000000002</v>
      </c>
      <c r="L50" s="6"/>
      <c r="M50" s="11"/>
      <c r="N50" s="11"/>
      <c r="P50" s="7"/>
      <c r="Q50" s="7"/>
      <c r="R50" s="7"/>
      <c r="S50" s="7"/>
      <c r="T50" s="7"/>
      <c r="U50" s="7"/>
    </row>
    <row r="51" spans="1:21" ht="12.75">
      <c r="A51" s="520"/>
      <c r="B51" s="119" t="s">
        <v>8</v>
      </c>
      <c r="C51" s="186">
        <f>ORIG!C45/ORIG!$J45</f>
        <v>0.31243045108506545</v>
      </c>
      <c r="D51" s="186">
        <f>ORIG!D45/ORIG!$J45</f>
        <v>0.176077519931035</v>
      </c>
      <c r="E51" s="186">
        <f>ORIG!E45/ORIG!$J45</f>
        <v>0.11405180603559899</v>
      </c>
      <c r="F51" s="186">
        <f>ORIG!F45/ORIG!$J45</f>
        <v>0.1577013737859305</v>
      </c>
      <c r="G51" s="186">
        <f>ORIG!G45/ORIG!$J45</f>
        <v>0.021968100206966785</v>
      </c>
      <c r="H51" s="187">
        <f>ORIG!H45/ORIG!$J45</f>
        <v>0.1971849285006536</v>
      </c>
      <c r="I51" s="267"/>
      <c r="J51" s="188">
        <f>ORIG!I45/ORIG!$J45</f>
        <v>0.02058582045474973</v>
      </c>
      <c r="K51" s="167">
        <f t="shared" si="0"/>
        <v>1</v>
      </c>
      <c r="L51" s="6">
        <f>SUM(K50:K51)</f>
        <v>2</v>
      </c>
      <c r="M51" s="11"/>
      <c r="N51" s="11"/>
      <c r="P51" s="7"/>
      <c r="Q51" s="7"/>
      <c r="R51" s="7"/>
      <c r="S51" s="7"/>
      <c r="T51" s="7"/>
      <c r="U51" s="7"/>
    </row>
    <row r="52" spans="1:21" ht="12.75">
      <c r="A52" s="545">
        <v>36281</v>
      </c>
      <c r="B52" s="34" t="s">
        <v>7</v>
      </c>
      <c r="C52" s="189">
        <f>ORIG!C46/ORIG!$J46</f>
        <v>0.24131007345625805</v>
      </c>
      <c r="D52" s="189">
        <f>ORIG!D46/ORIG!$J46</f>
        <v>0.015520726520640436</v>
      </c>
      <c r="E52" s="189">
        <f>ORIG!E46/ORIG!$J46</f>
        <v>0.006614441275857071</v>
      </c>
      <c r="F52" s="189">
        <f>ORIG!F46/ORIG!$J46</f>
        <v>0.723980128344134</v>
      </c>
      <c r="G52" s="189">
        <f>ORIG!G46/ORIG!$J46</f>
        <v>0</v>
      </c>
      <c r="H52" s="190">
        <f>ORIG!H46/ORIG!$J46</f>
        <v>0</v>
      </c>
      <c r="I52" s="268"/>
      <c r="J52" s="191">
        <f>ORIG!I46/ORIG!$J46</f>
        <v>0.012574630403110422</v>
      </c>
      <c r="K52" s="133">
        <f t="shared" si="0"/>
        <v>1</v>
      </c>
      <c r="P52" s="7"/>
      <c r="Q52" s="7"/>
      <c r="R52" s="7"/>
      <c r="S52" s="7"/>
      <c r="T52" s="7"/>
      <c r="U52" s="7"/>
    </row>
    <row r="53" spans="1:21" ht="12.75">
      <c r="A53" s="545"/>
      <c r="B53" s="36" t="s">
        <v>8</v>
      </c>
      <c r="C53" s="192">
        <f>ORIG!C47/ORIG!$J47</f>
        <v>0.5585160656873881</v>
      </c>
      <c r="D53" s="192">
        <f>ORIG!D47/ORIG!$J47</f>
        <v>0</v>
      </c>
      <c r="E53" s="192">
        <f>ORIG!E47/ORIG!$J47</f>
        <v>0.022495812717786806</v>
      </c>
      <c r="F53" s="192">
        <f>ORIG!F47/ORIG!$J47</f>
        <v>0.4030571973124386</v>
      </c>
      <c r="G53" s="192">
        <f>ORIG!G47/ORIG!$J47</f>
        <v>0</v>
      </c>
      <c r="H53" s="193">
        <f>ORIG!H47/ORIG!$J47</f>
        <v>0.01593092428238646</v>
      </c>
      <c r="I53" s="269"/>
      <c r="J53" s="194">
        <f>ORIG!I47/ORIG!$J47</f>
        <v>0</v>
      </c>
      <c r="K53" s="133">
        <f t="shared" si="0"/>
        <v>1</v>
      </c>
      <c r="L53" s="6">
        <f>SUM(K52:K53)</f>
        <v>2</v>
      </c>
      <c r="P53" s="7"/>
      <c r="Q53" s="7"/>
      <c r="R53" s="7"/>
      <c r="S53" s="7"/>
      <c r="T53" s="7"/>
      <c r="U53" s="7"/>
    </row>
    <row r="54" spans="1:21" ht="12.75">
      <c r="A54" s="535">
        <v>36647</v>
      </c>
      <c r="B54" s="38" t="s">
        <v>7</v>
      </c>
      <c r="C54" s="195">
        <f>ORIG!C48/ORIG!$J48</f>
        <v>0.2431895063666063</v>
      </c>
      <c r="D54" s="195">
        <f>ORIG!D48/ORIG!$J48</f>
        <v>0.01542805468730399</v>
      </c>
      <c r="E54" s="195">
        <f>ORIG!E48/ORIG!$J48</f>
        <v>0.0074816895294366045</v>
      </c>
      <c r="F54" s="195">
        <f>ORIG!F48/ORIG!$J48</f>
        <v>0.7135438515047647</v>
      </c>
      <c r="G54" s="195">
        <f>ORIG!G48/ORIG!$J48</f>
        <v>0</v>
      </c>
      <c r="H54" s="196">
        <f>ORIG!H48/ORIG!$J48</f>
        <v>0.009180868448778058</v>
      </c>
      <c r="I54" s="270"/>
      <c r="J54" s="197">
        <f>ORIG!I48/ORIG!$J48</f>
        <v>0.011176029463110308</v>
      </c>
      <c r="K54" s="140">
        <f t="shared" si="0"/>
        <v>1</v>
      </c>
      <c r="P54" s="7"/>
      <c r="Q54" s="7"/>
      <c r="R54" s="7"/>
      <c r="S54" s="7"/>
      <c r="T54" s="7"/>
      <c r="U54" s="7"/>
    </row>
    <row r="55" spans="1:21" ht="12.75">
      <c r="A55" s="535"/>
      <c r="B55" s="40" t="s">
        <v>8</v>
      </c>
      <c r="C55" s="168">
        <f>ORIG!C49/ORIG!$J49</f>
        <v>0.29609244793734557</v>
      </c>
      <c r="D55" s="168">
        <f>ORIG!D49/ORIG!$J49</f>
        <v>0</v>
      </c>
      <c r="E55" s="168">
        <f>ORIG!E49/ORIG!$J49</f>
        <v>0.011484843466048956</v>
      </c>
      <c r="F55" s="168">
        <f>ORIG!F49/ORIG!$J49</f>
        <v>0.5367474879017712</v>
      </c>
      <c r="G55" s="168">
        <f>ORIG!G49/ORIG!$J49</f>
        <v>0</v>
      </c>
      <c r="H55" s="169">
        <f>ORIG!H49/ORIG!$J49</f>
        <v>0.15567522069483422</v>
      </c>
      <c r="I55" s="261"/>
      <c r="J55" s="170">
        <f>ORIG!I49/ORIG!$J49</f>
        <v>0</v>
      </c>
      <c r="K55" s="140">
        <f t="shared" si="0"/>
        <v>0.9999999999999999</v>
      </c>
      <c r="L55" s="6">
        <f>SUM(K54:K55)</f>
        <v>2</v>
      </c>
      <c r="P55" s="7"/>
      <c r="Q55" s="7"/>
      <c r="R55" s="7"/>
      <c r="S55" s="7"/>
      <c r="T55" s="7"/>
      <c r="U55" s="7"/>
    </row>
    <row r="56" spans="1:21" ht="12.75">
      <c r="A56" s="497">
        <f>A54+366</f>
        <v>37013</v>
      </c>
      <c r="B56" s="26" t="s">
        <v>7</v>
      </c>
      <c r="C56" s="171">
        <f>ORIG!C50/ORIG!$J50</f>
        <v>0.24878495316712815</v>
      </c>
      <c r="D56" s="171">
        <f>ORIG!D50/ORIG!$J50</f>
        <v>0.008739918906183954</v>
      </c>
      <c r="E56" s="171">
        <f>ORIG!E50/ORIG!$J50</f>
        <v>0.0016309755516715914</v>
      </c>
      <c r="F56" s="171">
        <f>ORIG!F50/ORIG!$J50</f>
        <v>0.7242347163981429</v>
      </c>
      <c r="G56" s="171">
        <f>ORIG!G50/ORIG!$J50</f>
        <v>0</v>
      </c>
      <c r="H56" s="172">
        <f>ORIG!H50/ORIG!$J50</f>
        <v>0.010559875006705582</v>
      </c>
      <c r="I56" s="262"/>
      <c r="J56" s="173">
        <f>ORIG!I50/ORIG!$J50</f>
        <v>0.006049560970167905</v>
      </c>
      <c r="K56" s="147">
        <f t="shared" si="0"/>
        <v>1</v>
      </c>
      <c r="P56" s="7"/>
      <c r="Q56" s="7"/>
      <c r="R56" s="7"/>
      <c r="S56" s="7"/>
      <c r="T56" s="7"/>
      <c r="U56" s="7"/>
    </row>
    <row r="57" spans="1:21" ht="12.75">
      <c r="A57" s="497"/>
      <c r="B57" s="28" t="s">
        <v>8</v>
      </c>
      <c r="C57" s="174">
        <f>ORIG!C51/ORIG!$J51</f>
        <v>0.25526882709939636</v>
      </c>
      <c r="D57" s="174">
        <f>ORIG!D51/ORIG!$J51</f>
        <v>0</v>
      </c>
      <c r="E57" s="174">
        <f>ORIG!E51/ORIG!$J51</f>
        <v>0.019255968664508932</v>
      </c>
      <c r="F57" s="174">
        <f>ORIG!F51/ORIG!$J51</f>
        <v>0.4801856977017312</v>
      </c>
      <c r="G57" s="174">
        <f>ORIG!G51/ORIG!$J51</f>
        <v>0</v>
      </c>
      <c r="H57" s="175">
        <f>ORIG!H51/ORIG!$J51</f>
        <v>0.23518410259960465</v>
      </c>
      <c r="I57" s="263"/>
      <c r="J57" s="176">
        <f>ORIG!I51/ORIG!$J51</f>
        <v>0.010105403934758925</v>
      </c>
      <c r="K57" s="147">
        <f t="shared" si="0"/>
        <v>1.0000000000000002</v>
      </c>
      <c r="L57" s="6">
        <f>SUM(K56:K57)</f>
        <v>2</v>
      </c>
      <c r="P57" s="7"/>
      <c r="Q57" s="7"/>
      <c r="R57" s="7"/>
      <c r="S57" s="7"/>
      <c r="T57" s="7"/>
      <c r="U57" s="7"/>
    </row>
    <row r="58" spans="1:21" ht="12.75">
      <c r="A58" s="534">
        <v>37377</v>
      </c>
      <c r="B58" s="30" t="s">
        <v>7</v>
      </c>
      <c r="C58" s="177">
        <f>ORIG!C52/ORIG!$J52</f>
        <v>0.21389322436692831</v>
      </c>
      <c r="D58" s="177">
        <f>ORIG!D52/ORIG!$J52</f>
        <v>0.013689352125887335</v>
      </c>
      <c r="E58" s="177">
        <f>ORIG!E52/ORIG!$J52</f>
        <v>0</v>
      </c>
      <c r="F58" s="177">
        <f>ORIG!F52/ORIG!$J52</f>
        <v>0.6871501650612332</v>
      </c>
      <c r="G58" s="177">
        <f>ORIG!G52/ORIG!$J52</f>
        <v>0</v>
      </c>
      <c r="H58" s="178">
        <f>ORIG!H52/ORIG!$J52</f>
        <v>0.08300561016960831</v>
      </c>
      <c r="I58" s="264"/>
      <c r="J58" s="179">
        <f>ORIG!I52/ORIG!$J52</f>
        <v>0.002261648276342979</v>
      </c>
      <c r="K58" s="166">
        <f t="shared" si="0"/>
        <v>1</v>
      </c>
      <c r="L58" s="6"/>
      <c r="P58" s="7"/>
      <c r="Q58" s="7"/>
      <c r="R58" s="7"/>
      <c r="S58" s="7"/>
      <c r="T58" s="7"/>
      <c r="U58" s="7"/>
    </row>
    <row r="59" spans="1:21" ht="12.75">
      <c r="A59" s="534"/>
      <c r="B59" s="32" t="s">
        <v>8</v>
      </c>
      <c r="C59" s="180">
        <f>ORIG!C53/ORIG!$J53</f>
        <v>0.14124819064247485</v>
      </c>
      <c r="D59" s="180">
        <f>ORIG!D53/ORIG!$J53</f>
        <v>0.25037727992467884</v>
      </c>
      <c r="E59" s="180">
        <f>ORIG!E53/ORIG!$J53</f>
        <v>0.07451372692936777</v>
      </c>
      <c r="F59" s="180">
        <f>ORIG!F53/ORIG!$J53</f>
        <v>0.3080950533605052</v>
      </c>
      <c r="G59" s="180">
        <f>ORIG!G53/ORIG!$J53</f>
        <v>0.008646952879112524</v>
      </c>
      <c r="H59" s="181">
        <f>ORIG!H53/ORIG!$J53</f>
        <v>0.20064750286106706</v>
      </c>
      <c r="I59" s="265"/>
      <c r="J59" s="182">
        <f>ORIG!I53/ORIG!$J53</f>
        <v>0.016471293402793775</v>
      </c>
      <c r="K59" s="166">
        <f t="shared" si="0"/>
        <v>0.9999999999999999</v>
      </c>
      <c r="L59" s="6">
        <f>SUM(K58:K59)</f>
        <v>2</v>
      </c>
      <c r="P59" s="7"/>
      <c r="Q59" s="7"/>
      <c r="R59" s="7"/>
      <c r="S59" s="7"/>
      <c r="T59" s="7"/>
      <c r="U59" s="7"/>
    </row>
    <row r="60" spans="1:21" ht="12.75">
      <c r="A60" s="519">
        <v>37742</v>
      </c>
      <c r="B60" s="115" t="s">
        <v>7</v>
      </c>
      <c r="C60" s="183">
        <f>ORIG!C54/ORIG!$J54</f>
        <v>0.24525748205795875</v>
      </c>
      <c r="D60" s="183">
        <f>ORIG!D54/ORIG!$J54</f>
        <v>0.02925588824159842</v>
      </c>
      <c r="E60" s="183">
        <f>ORIG!E54/ORIG!$J54</f>
        <v>0</v>
      </c>
      <c r="F60" s="183">
        <f>ORIG!F54/ORIG!$J54</f>
        <v>0.7054953637273635</v>
      </c>
      <c r="G60" s="183">
        <f>ORIG!G54/ORIG!$J54</f>
        <v>0</v>
      </c>
      <c r="H60" s="184">
        <f>ORIG!H54/ORIG!$J54</f>
        <v>0.008546153588662477</v>
      </c>
      <c r="I60" s="266"/>
      <c r="J60" s="185">
        <f>ORIG!I54/ORIG!$J54</f>
        <v>0.011445112384416806</v>
      </c>
      <c r="K60" s="167">
        <f t="shared" si="0"/>
        <v>1</v>
      </c>
      <c r="L60" s="6"/>
      <c r="P60" s="7"/>
      <c r="Q60" s="7"/>
      <c r="R60" s="7"/>
      <c r="S60" s="7"/>
      <c r="T60" s="7"/>
      <c r="U60" s="7"/>
    </row>
    <row r="61" spans="1:21" ht="12.75">
      <c r="A61" s="520"/>
      <c r="B61" s="119" t="s">
        <v>8</v>
      </c>
      <c r="C61" s="186">
        <f>ORIG!C55/ORIG!$J55</f>
        <v>0.212967165592503</v>
      </c>
      <c r="D61" s="186">
        <f>ORIG!D55/ORIG!$J55</f>
        <v>0.16916543556052885</v>
      </c>
      <c r="E61" s="186">
        <f>ORIG!E55/ORIG!$J55</f>
        <v>0.09139775493575113</v>
      </c>
      <c r="F61" s="186">
        <f>ORIG!F55/ORIG!$J55</f>
        <v>0.2361988476353333</v>
      </c>
      <c r="G61" s="186">
        <f>ORIG!G55/ORIG!$J55</f>
        <v>0.013898593804131365</v>
      </c>
      <c r="H61" s="187">
        <f>ORIG!H55/ORIG!$J55</f>
        <v>0.24895504046926747</v>
      </c>
      <c r="I61" s="267"/>
      <c r="J61" s="188">
        <f>ORIG!I55/ORIG!$J55</f>
        <v>0.027417162002485146</v>
      </c>
      <c r="K61" s="167">
        <f t="shared" si="0"/>
        <v>1.0000000000000004</v>
      </c>
      <c r="L61" s="6">
        <f>SUM(K60:K61)</f>
        <v>2.0000000000000004</v>
      </c>
      <c r="P61" s="7"/>
      <c r="Q61" s="7"/>
      <c r="R61" s="7"/>
      <c r="S61" s="7"/>
      <c r="T61" s="7"/>
      <c r="U61" s="7"/>
    </row>
    <row r="62" spans="1:21" ht="12.75">
      <c r="A62" s="25">
        <v>36312</v>
      </c>
      <c r="B62" s="34" t="s">
        <v>7</v>
      </c>
      <c r="C62" s="189">
        <f>ORIG!C56/ORIG!$J56</f>
        <v>0.2085701807896398</v>
      </c>
      <c r="D62" s="189">
        <f>ORIG!D56/ORIG!$J56</f>
        <v>0.013719883205258052</v>
      </c>
      <c r="E62" s="189">
        <f>ORIG!E56/ORIG!$J56</f>
        <v>0.00715215020476158</v>
      </c>
      <c r="F62" s="189">
        <f>ORIG!F56/ORIG!$J56</f>
        <v>0.7542282149633577</v>
      </c>
      <c r="G62" s="189">
        <f>ORIG!G56/ORIG!$J56</f>
        <v>0</v>
      </c>
      <c r="H62" s="190">
        <f>ORIG!H56/ORIG!$J56</f>
        <v>0.0008275911918500944</v>
      </c>
      <c r="I62" s="268"/>
      <c r="J62" s="191">
        <f>ORIG!I56/ORIG!$J56</f>
        <v>0.015501979645132837</v>
      </c>
      <c r="K62" s="133">
        <f t="shared" si="0"/>
        <v>1</v>
      </c>
      <c r="P62" s="7"/>
      <c r="Q62" s="7"/>
      <c r="R62" s="7"/>
      <c r="S62" s="7"/>
      <c r="T62" s="7"/>
      <c r="U62" s="7"/>
    </row>
    <row r="63" spans="1:21" ht="12.75">
      <c r="A63" s="25"/>
      <c r="B63" s="36" t="s">
        <v>8</v>
      </c>
      <c r="C63" s="192">
        <f>ORIG!C57/ORIG!$J57</f>
        <v>0.49844751731361037</v>
      </c>
      <c r="D63" s="192">
        <f>ORIG!D57/ORIG!$J57</f>
        <v>0</v>
      </c>
      <c r="E63" s="192">
        <f>ORIG!E57/ORIG!$J57</f>
        <v>0.0030700563808437192</v>
      </c>
      <c r="F63" s="192">
        <f>ORIG!F57/ORIG!$J57</f>
        <v>0.4637036376540158</v>
      </c>
      <c r="G63" s="192">
        <f>ORIG!G57/ORIG!$J57</f>
        <v>0</v>
      </c>
      <c r="H63" s="193">
        <f>ORIG!H57/ORIG!$J57</f>
        <v>0.03477878865153014</v>
      </c>
      <c r="I63" s="269"/>
      <c r="J63" s="194">
        <f>ORIG!I57/ORIG!$J57</f>
        <v>0</v>
      </c>
      <c r="K63" s="133">
        <f t="shared" si="0"/>
        <v>1</v>
      </c>
      <c r="L63" s="6">
        <f>SUM(K62:K63)</f>
        <v>2</v>
      </c>
      <c r="P63" s="7"/>
      <c r="Q63" s="7"/>
      <c r="R63" s="7"/>
      <c r="S63" s="7"/>
      <c r="T63" s="7"/>
      <c r="U63" s="7"/>
    </row>
    <row r="64" spans="1:21" ht="12.75">
      <c r="A64" s="529">
        <v>36678</v>
      </c>
      <c r="B64" s="38" t="s">
        <v>7</v>
      </c>
      <c r="C64" s="195">
        <f>ORIG!C58/ORIG!$J58</f>
        <v>0.2456151681909145</v>
      </c>
      <c r="D64" s="195">
        <f>ORIG!D58/ORIG!$J58</f>
        <v>0.014306568837910082</v>
      </c>
      <c r="E64" s="195">
        <f>ORIG!E58/ORIG!$J58</f>
        <v>0.004677179498528116</v>
      </c>
      <c r="F64" s="195">
        <f>ORIG!F58/ORIG!$J58</f>
        <v>0.7039225246512778</v>
      </c>
      <c r="G64" s="195">
        <f>ORIG!G58/ORIG!$J58</f>
        <v>0</v>
      </c>
      <c r="H64" s="196">
        <f>ORIG!H58/ORIG!$J58</f>
        <v>0.01829790178629605</v>
      </c>
      <c r="I64" s="270"/>
      <c r="J64" s="197">
        <f>ORIG!I58/ORIG!$J58</f>
        <v>0.013180657035073292</v>
      </c>
      <c r="K64" s="140">
        <f t="shared" si="0"/>
        <v>0.9999999999999999</v>
      </c>
      <c r="P64" s="12"/>
      <c r="Q64" s="12"/>
      <c r="R64" s="12"/>
      <c r="S64" s="12"/>
      <c r="T64" s="12"/>
      <c r="U64" s="12"/>
    </row>
    <row r="65" spans="1:12" ht="12.75">
      <c r="A65" s="530"/>
      <c r="B65" s="40" t="s">
        <v>8</v>
      </c>
      <c r="C65" s="168">
        <f>ORIG!C59/ORIG!$J59</f>
        <v>0.34949632190050617</v>
      </c>
      <c r="D65" s="168">
        <f>ORIG!D59/ORIG!$J59</f>
        <v>0</v>
      </c>
      <c r="E65" s="168">
        <f>ORIG!E59/ORIG!$J59</f>
        <v>0.01922740324452147</v>
      </c>
      <c r="F65" s="168">
        <f>ORIG!F59/ORIG!$J59</f>
        <v>0.5754626323875714</v>
      </c>
      <c r="G65" s="168">
        <f>ORIG!G59/ORIG!$J59</f>
        <v>0</v>
      </c>
      <c r="H65" s="169">
        <f>ORIG!H59/ORIG!$J59</f>
        <v>0.05167238751981776</v>
      </c>
      <c r="I65" s="261"/>
      <c r="J65" s="170">
        <f>ORIG!I59/ORIG!$J59</f>
        <v>0.004141254947583246</v>
      </c>
      <c r="K65" s="140">
        <f t="shared" si="0"/>
        <v>1</v>
      </c>
      <c r="L65" s="6">
        <f>SUM(K64:K65)</f>
        <v>2</v>
      </c>
    </row>
    <row r="66" spans="1:11" ht="12.75">
      <c r="A66" s="497">
        <f>A64+366</f>
        <v>37044</v>
      </c>
      <c r="B66" s="26" t="s">
        <v>7</v>
      </c>
      <c r="C66" s="171">
        <f>ORIG!C60/ORIG!$J60</f>
        <v>0.27355093060449565</v>
      </c>
      <c r="D66" s="171">
        <f>ORIG!D60/ORIG!$J60</f>
        <v>0.009058164691574642</v>
      </c>
      <c r="E66" s="171">
        <f>ORIG!E60/ORIG!$J60</f>
        <v>0.0015123635665579554</v>
      </c>
      <c r="F66" s="171">
        <f>ORIG!F60/ORIG!$J60</f>
        <v>0.7039087257765844</v>
      </c>
      <c r="G66" s="171">
        <f>ORIG!G60/ORIG!$J60</f>
        <v>0</v>
      </c>
      <c r="H66" s="172">
        <f>ORIG!H60/ORIG!$J60</f>
        <v>0.0016054742219536447</v>
      </c>
      <c r="I66" s="262"/>
      <c r="J66" s="173">
        <f>ORIG!I60/ORIG!$J60</f>
        <v>0.010364341138833805</v>
      </c>
      <c r="K66" s="147">
        <f t="shared" si="0"/>
        <v>1</v>
      </c>
    </row>
    <row r="67" spans="1:12" ht="12.75">
      <c r="A67" s="497"/>
      <c r="B67" s="28" t="s">
        <v>8</v>
      </c>
      <c r="C67" s="174">
        <f>ORIG!C61/ORIG!$J61</f>
        <v>0.2142627168631102</v>
      </c>
      <c r="D67" s="174">
        <f>ORIG!D61/ORIG!$J61</f>
        <v>0</v>
      </c>
      <c r="E67" s="174">
        <f>ORIG!E61/ORIG!$J61</f>
        <v>0.013624980539711498</v>
      </c>
      <c r="F67" s="174">
        <f>ORIG!F61/ORIG!$J61</f>
        <v>0.4776895975619115</v>
      </c>
      <c r="G67" s="174">
        <f>ORIG!G61/ORIG!$J61</f>
        <v>0</v>
      </c>
      <c r="H67" s="175">
        <f>ORIG!H61/ORIG!$J61</f>
        <v>0.2648128679953093</v>
      </c>
      <c r="I67" s="263"/>
      <c r="J67" s="176">
        <f>ORIG!I61/ORIG!$J61</f>
        <v>0.029609837039957492</v>
      </c>
      <c r="K67" s="147">
        <f t="shared" si="0"/>
        <v>0.9999999999999999</v>
      </c>
      <c r="L67" s="6">
        <f>SUM(K66:K67)</f>
        <v>2</v>
      </c>
    </row>
    <row r="68" spans="1:12" ht="12.75">
      <c r="A68" s="534">
        <v>37408</v>
      </c>
      <c r="B68" s="30" t="s">
        <v>7</v>
      </c>
      <c r="C68" s="177">
        <f>ORIG!C62/ORIG!$J62</f>
        <v>0.22891849173011927</v>
      </c>
      <c r="D68" s="177">
        <f>ORIG!D62/ORIG!$J62</f>
        <v>0.01373161486379103</v>
      </c>
      <c r="E68" s="177">
        <f>ORIG!E62/ORIG!$J62</f>
        <v>0</v>
      </c>
      <c r="F68" s="177">
        <f>ORIG!F62/ORIG!$J62</f>
        <v>0.7049442919230579</v>
      </c>
      <c r="G68" s="177">
        <f>ORIG!G62/ORIG!$J62</f>
        <v>0</v>
      </c>
      <c r="H68" s="178">
        <f>ORIG!H62/ORIG!$J62</f>
        <v>0.04676048557844437</v>
      </c>
      <c r="I68" s="264"/>
      <c r="J68" s="179">
        <f>ORIG!I62/ORIG!$J62</f>
        <v>0.005645115904587543</v>
      </c>
      <c r="K68" s="166">
        <f t="shared" si="0"/>
        <v>1</v>
      </c>
      <c r="L68" s="6"/>
    </row>
    <row r="69" spans="1:12" ht="12.75">
      <c r="A69" s="534"/>
      <c r="B69" s="32" t="s">
        <v>8</v>
      </c>
      <c r="C69" s="180">
        <f>ORIG!C63/ORIG!$J63</f>
        <v>0.12330027898351886</v>
      </c>
      <c r="D69" s="180">
        <f>ORIG!D63/ORIG!$J63</f>
        <v>0.20705187752353785</v>
      </c>
      <c r="E69" s="180">
        <f>ORIG!E63/ORIG!$J63</f>
        <v>0.047877877466566465</v>
      </c>
      <c r="F69" s="180">
        <f>ORIG!F63/ORIG!$J63</f>
        <v>0.27621813602104006</v>
      </c>
      <c r="G69" s="180">
        <f>ORIG!G63/ORIG!$J63</f>
        <v>0.005503616046883953</v>
      </c>
      <c r="H69" s="181">
        <f>ORIG!H63/ORIG!$J63</f>
        <v>0.2871688756538164</v>
      </c>
      <c r="I69" s="265"/>
      <c r="J69" s="182">
        <f>ORIG!I63/ORIG!$J63</f>
        <v>0.05287933830463628</v>
      </c>
      <c r="K69" s="166">
        <f t="shared" si="0"/>
        <v>0.9999999999999999</v>
      </c>
      <c r="L69" s="6">
        <f>SUM(K68:K69)</f>
        <v>2</v>
      </c>
    </row>
    <row r="70" spans="1:12" ht="12.75">
      <c r="A70" s="519">
        <v>37773</v>
      </c>
      <c r="B70" s="115" t="s">
        <v>7</v>
      </c>
      <c r="C70" s="183">
        <f>ORIG!C64/ORIG!$J64</f>
        <v>0.23750621750740222</v>
      </c>
      <c r="D70" s="183">
        <f>ORIG!D64/ORIG!$J64</f>
        <v>0.02748238454477095</v>
      </c>
      <c r="E70" s="183">
        <f>ORIG!E64/ORIG!$J64</f>
        <v>0</v>
      </c>
      <c r="F70" s="183">
        <f>ORIG!F64/ORIG!$J64</f>
        <v>0.7190925697507252</v>
      </c>
      <c r="G70" s="183">
        <f>ORIG!G64/ORIG!$J64</f>
        <v>0</v>
      </c>
      <c r="H70" s="184">
        <f>ORIG!H64/ORIG!$J64</f>
        <v>0.007627646639396766</v>
      </c>
      <c r="I70" s="266"/>
      <c r="J70" s="185">
        <f>ORIG!I64/ORIG!$J64</f>
        <v>0.008291181557704806</v>
      </c>
      <c r="K70" s="167">
        <f t="shared" si="0"/>
        <v>0.9999999999999999</v>
      </c>
      <c r="L70" s="6"/>
    </row>
    <row r="71" spans="1:12" ht="12.75">
      <c r="A71" s="520"/>
      <c r="B71" s="119" t="s">
        <v>8</v>
      </c>
      <c r="C71" s="186">
        <f>ORIG!C65/ORIG!$J65</f>
        <v>0.23657663841415597</v>
      </c>
      <c r="D71" s="186">
        <f>ORIG!D65/ORIG!$J65</f>
        <v>0.1787992913881143</v>
      </c>
      <c r="E71" s="186">
        <f>ORIG!E65/ORIG!$J65</f>
        <v>0.10328723355232111</v>
      </c>
      <c r="F71" s="186">
        <f>ORIG!F65/ORIG!$J65</f>
        <v>0.18735892805528268</v>
      </c>
      <c r="G71" s="186">
        <f>ORIG!G65/ORIG!$J65</f>
        <v>0.004826002541978139</v>
      </c>
      <c r="H71" s="187">
        <f>ORIG!H65/ORIG!$J65</f>
        <v>0.24993079801788146</v>
      </c>
      <c r="I71" s="267"/>
      <c r="J71" s="188">
        <f>ORIG!I65/ORIG!$J65</f>
        <v>0.039221108030266454</v>
      </c>
      <c r="K71" s="167">
        <f t="shared" si="0"/>
        <v>1</v>
      </c>
      <c r="L71" s="6">
        <f>SUM(K70:K71)</f>
        <v>2</v>
      </c>
    </row>
    <row r="72" spans="1:11" ht="12.75">
      <c r="A72" s="504">
        <v>36342</v>
      </c>
      <c r="B72" s="34" t="s">
        <v>7</v>
      </c>
      <c r="C72" s="189">
        <f>ORIG!C66/ORIG!$J66</f>
        <v>0.2502562807602171</v>
      </c>
      <c r="D72" s="189">
        <f>ORIG!D66/ORIG!$J66</f>
        <v>0.015261522571968033</v>
      </c>
      <c r="E72" s="189">
        <f>ORIG!E66/ORIG!$J66</f>
        <v>0.005659672408755561</v>
      </c>
      <c r="F72" s="189">
        <f>ORIG!F66/ORIG!$J66</f>
        <v>0.70951043476475</v>
      </c>
      <c r="G72" s="189">
        <f>ORIG!G66/ORIG!$J66</f>
        <v>0</v>
      </c>
      <c r="H72" s="190">
        <f>ORIG!H66/ORIG!$J66</f>
        <v>0.00011748310506614301</v>
      </c>
      <c r="I72" s="268"/>
      <c r="J72" s="191">
        <f>ORIG!I66/ORIG!$J66</f>
        <v>0.01919460638924317</v>
      </c>
      <c r="K72" s="133">
        <f t="shared" si="0"/>
        <v>1</v>
      </c>
    </row>
    <row r="73" spans="1:12" ht="12.75">
      <c r="A73" s="505"/>
      <c r="B73" s="36" t="s">
        <v>8</v>
      </c>
      <c r="C73" s="192">
        <f>ORIG!C67/ORIG!$J67</f>
        <v>0.45152438371529374</v>
      </c>
      <c r="D73" s="192">
        <f>ORIG!D67/ORIG!$J67</f>
        <v>0</v>
      </c>
      <c r="E73" s="192">
        <f>ORIG!E67/ORIG!$J67</f>
        <v>0.0024372311990431207</v>
      </c>
      <c r="F73" s="192">
        <f>ORIG!F67/ORIG!$J67</f>
        <v>0.5075166919115877</v>
      </c>
      <c r="G73" s="192">
        <f>ORIG!G67/ORIG!$J67</f>
        <v>0</v>
      </c>
      <c r="H73" s="193">
        <f>ORIG!H67/ORIG!$J67</f>
        <v>0.03852169317407552</v>
      </c>
      <c r="I73" s="269"/>
      <c r="J73" s="194">
        <f>ORIG!I67/ORIG!$J67</f>
        <v>0</v>
      </c>
      <c r="K73" s="133">
        <f t="shared" si="0"/>
        <v>1</v>
      </c>
      <c r="L73" s="6">
        <f>SUM(K72:K73)</f>
        <v>2</v>
      </c>
    </row>
    <row r="74" spans="1:11" ht="12.75">
      <c r="A74" s="529">
        <v>36708</v>
      </c>
      <c r="B74" s="38" t="s">
        <v>7</v>
      </c>
      <c r="C74" s="195">
        <f>ORIG!C68/ORIG!$J68</f>
        <v>0.25986667617454995</v>
      </c>
      <c r="D74" s="195">
        <f>ORIG!D68/ORIG!$J68</f>
        <v>0.015441963733696332</v>
      </c>
      <c r="E74" s="195">
        <f>ORIG!E68/ORIG!$J68</f>
        <v>0.00518334212963033</v>
      </c>
      <c r="F74" s="195">
        <f>ORIG!F68/ORIG!$J68</f>
        <v>0.6854679319751653</v>
      </c>
      <c r="G74" s="195">
        <f>ORIG!G68/ORIG!$J68</f>
        <v>0</v>
      </c>
      <c r="H74" s="196">
        <f>ORIG!H68/ORIG!$J68</f>
        <v>0.018095968749377522</v>
      </c>
      <c r="I74" s="270"/>
      <c r="J74" s="197">
        <f>ORIG!I68/ORIG!$J68</f>
        <v>0.01594411723758066</v>
      </c>
      <c r="K74" s="140">
        <f t="shared" si="0"/>
        <v>1.0000000000000002</v>
      </c>
    </row>
    <row r="75" spans="1:12" ht="12.75">
      <c r="A75" s="530"/>
      <c r="B75" s="40" t="s">
        <v>8</v>
      </c>
      <c r="C75" s="168">
        <f>ORIG!C69/ORIG!$J69</f>
        <v>0.2945154409870527</v>
      </c>
      <c r="D75" s="168">
        <f>ORIG!D69/ORIG!$J69</f>
        <v>0</v>
      </c>
      <c r="E75" s="168">
        <f>ORIG!E69/ORIG!$J69</f>
        <v>0.024363987485049785</v>
      </c>
      <c r="F75" s="168">
        <f>ORIG!F69/ORIG!$J69</f>
        <v>0.5039566388930626</v>
      </c>
      <c r="G75" s="168">
        <f>ORIG!G69/ORIG!$J69</f>
        <v>0</v>
      </c>
      <c r="H75" s="169">
        <f>ORIG!H69/ORIG!$J69</f>
        <v>0.1740245612700161</v>
      </c>
      <c r="I75" s="261"/>
      <c r="J75" s="170">
        <f>ORIG!I69/ORIG!$J69</f>
        <v>0.0031393713648187114</v>
      </c>
      <c r="K75" s="140">
        <f t="shared" si="0"/>
        <v>0.9999999999999999</v>
      </c>
      <c r="L75" s="6">
        <f>SUM(K74:K75)</f>
        <v>2</v>
      </c>
    </row>
    <row r="76" spans="1:11" ht="12.75">
      <c r="A76" s="497">
        <f>A74+366</f>
        <v>37074</v>
      </c>
      <c r="B76" s="26" t="s">
        <v>7</v>
      </c>
      <c r="C76" s="171">
        <f>ORIG!C70/ORIG!$J70</f>
        <v>0.250940783648101</v>
      </c>
      <c r="D76" s="171">
        <f>ORIG!D70/ORIG!$J70</f>
        <v>0.013628797415429906</v>
      </c>
      <c r="E76" s="171">
        <f>ORIG!E70/ORIG!$J70</f>
        <v>0.0025062594540805525</v>
      </c>
      <c r="F76" s="171">
        <f>ORIG!F70/ORIG!$J70</f>
        <v>0.7236907570717409</v>
      </c>
      <c r="G76" s="171">
        <f>ORIG!G70/ORIG!$J70</f>
        <v>0</v>
      </c>
      <c r="H76" s="172">
        <f>ORIG!H70/ORIG!$J70</f>
        <v>0.0009648162258604373</v>
      </c>
      <c r="I76" s="262"/>
      <c r="J76" s="173">
        <f>ORIG!I70/ORIG!$J70</f>
        <v>0.008268586184787213</v>
      </c>
      <c r="K76" s="147">
        <f t="shared" si="0"/>
        <v>1</v>
      </c>
    </row>
    <row r="77" spans="1:12" ht="12.75">
      <c r="A77" s="497"/>
      <c r="B77" s="28" t="s">
        <v>8</v>
      </c>
      <c r="C77" s="174">
        <f>ORIG!C71/ORIG!$J71</f>
        <v>0.18743762201380335</v>
      </c>
      <c r="D77" s="198">
        <f>ORIG!D71/ORIG!$J71</f>
        <v>0</v>
      </c>
      <c r="E77" s="174">
        <f>ORIG!E71/ORIG!$J71</f>
        <v>0.017745466151642214</v>
      </c>
      <c r="F77" s="174">
        <f>ORIG!F71/ORIG!$J71</f>
        <v>0.4722635757819119</v>
      </c>
      <c r="G77" s="174">
        <f>ORIG!G71/ORIG!$J71</f>
        <v>0</v>
      </c>
      <c r="H77" s="175">
        <f>ORIG!H71/ORIG!$J71</f>
        <v>0.3016795383436835</v>
      </c>
      <c r="I77" s="263"/>
      <c r="J77" s="176">
        <f>ORIG!I71/ORIG!$J71</f>
        <v>0.02087379770895898</v>
      </c>
      <c r="K77" s="147">
        <f aca="true" t="shared" si="1" ref="K77:K131">SUM(C77:J77)</f>
        <v>1</v>
      </c>
      <c r="L77" s="6">
        <f>SUM(K76:K77)</f>
        <v>2</v>
      </c>
    </row>
    <row r="78" spans="1:12" ht="12.75">
      <c r="A78" s="534">
        <v>37438</v>
      </c>
      <c r="B78" s="30" t="s">
        <v>7</v>
      </c>
      <c r="C78" s="177">
        <f>ORIG!C72/ORIG!$J72</f>
        <v>0.18534363007023136</v>
      </c>
      <c r="D78" s="177">
        <f>ORIG!D72/ORIG!$J72</f>
        <v>0.013497943813854852</v>
      </c>
      <c r="E78" s="177">
        <f>ORIG!E72/ORIG!$J72</f>
        <v>0</v>
      </c>
      <c r="F78" s="177">
        <f>ORIG!F72/ORIG!$J72</f>
        <v>0.775161593339341</v>
      </c>
      <c r="G78" s="177">
        <f>ORIG!G72/ORIG!$J72</f>
        <v>0</v>
      </c>
      <c r="H78" s="178">
        <f>ORIG!H72/ORIG!$J72</f>
        <v>0.02147168760096187</v>
      </c>
      <c r="I78" s="264"/>
      <c r="J78" s="179">
        <f>ORIG!I72/ORIG!$J72</f>
        <v>0.004525145175610939</v>
      </c>
      <c r="K78" s="166">
        <f t="shared" si="1"/>
        <v>1</v>
      </c>
      <c r="L78" s="6"/>
    </row>
    <row r="79" spans="1:12" ht="12.75">
      <c r="A79" s="534"/>
      <c r="B79" s="32" t="s">
        <v>8</v>
      </c>
      <c r="C79" s="180">
        <f>ORIG!C73/ORIG!$J73</f>
        <v>0.11133748382375512</v>
      </c>
      <c r="D79" s="180">
        <f>ORIG!D73/ORIG!$J73</f>
        <v>0.18967087438521205</v>
      </c>
      <c r="E79" s="180">
        <f>ORIG!E73/ORIG!$J73</f>
        <v>0.049503489397648134</v>
      </c>
      <c r="F79" s="180">
        <f>ORIG!F73/ORIG!$J73</f>
        <v>0.28856862485362744</v>
      </c>
      <c r="G79" s="180">
        <f>ORIG!G73/ORIG!$J73</f>
        <v>0.006375259467097692</v>
      </c>
      <c r="H79" s="181">
        <f>ORIG!H73/ORIG!$J73</f>
        <v>0.31508880824960245</v>
      </c>
      <c r="I79" s="265"/>
      <c r="J79" s="182">
        <f>ORIG!I73/ORIG!$J73</f>
        <v>0.039455459823057294</v>
      </c>
      <c r="K79" s="166">
        <f t="shared" si="1"/>
        <v>1.0000000000000002</v>
      </c>
      <c r="L79" s="6">
        <f>SUM(K78:K79)</f>
        <v>2</v>
      </c>
    </row>
    <row r="80" spans="1:12" ht="12.75">
      <c r="A80" s="519">
        <v>37803</v>
      </c>
      <c r="B80" s="115" t="s">
        <v>7</v>
      </c>
      <c r="C80" s="183">
        <f>ORIG!C74/ORIG!$J74</f>
        <v>0.20514310576007397</v>
      </c>
      <c r="D80" s="183">
        <f>ORIG!D74/ORIG!$J74</f>
        <v>0.030648436436394075</v>
      </c>
      <c r="E80" s="183">
        <f>ORIG!E74/ORIG!$J74</f>
        <v>0</v>
      </c>
      <c r="F80" s="183">
        <f>ORIG!F74/ORIG!$J74</f>
        <v>0.7524893922247523</v>
      </c>
      <c r="G80" s="183">
        <f>ORIG!G74/ORIG!$J74</f>
        <v>0</v>
      </c>
      <c r="H80" s="184">
        <f>ORIG!H74/ORIG!$J74</f>
        <v>0.004846172537716513</v>
      </c>
      <c r="I80" s="266"/>
      <c r="J80" s="185">
        <f>ORIG!I74/ORIG!$J74</f>
        <v>0.006872893041063349</v>
      </c>
      <c r="K80" s="167">
        <f t="shared" si="1"/>
        <v>1.0000000000000002</v>
      </c>
      <c r="L80" s="6"/>
    </row>
    <row r="81" spans="1:12" ht="12.75">
      <c r="A81" s="520"/>
      <c r="B81" s="119" t="s">
        <v>8</v>
      </c>
      <c r="C81" s="186">
        <f>ORIG!C75/ORIG!$J75</f>
        <v>0.22056006528492306</v>
      </c>
      <c r="D81" s="186">
        <f>ORIG!D75/ORIG!$J75</f>
        <v>0.18337873048456468</v>
      </c>
      <c r="E81" s="186">
        <f>ORIG!E75/ORIG!$J75</f>
        <v>0.08592887709085703</v>
      </c>
      <c r="F81" s="186">
        <f>ORIG!F75/ORIG!$J75</f>
        <v>0.2132093900185341</v>
      </c>
      <c r="G81" s="186">
        <f>ORIG!G75/ORIG!$J75</f>
        <v>0.014043471873297067</v>
      </c>
      <c r="H81" s="187">
        <f>ORIG!H75/ORIG!$J75</f>
        <v>0.2487805258199485</v>
      </c>
      <c r="I81" s="267"/>
      <c r="J81" s="188">
        <f>ORIG!I75/ORIG!$J75</f>
        <v>0.03409893942787563</v>
      </c>
      <c r="K81" s="167">
        <f t="shared" si="1"/>
        <v>1</v>
      </c>
      <c r="L81" s="6">
        <f>SUM(K80:K81)</f>
        <v>2</v>
      </c>
    </row>
    <row r="82" spans="1:11" ht="12.75">
      <c r="A82" s="504">
        <v>36373</v>
      </c>
      <c r="B82" s="34" t="s">
        <v>7</v>
      </c>
      <c r="C82" s="189">
        <f>ORIG!C76/ORIG!$J76</f>
        <v>0.24100379695085997</v>
      </c>
      <c r="D82" s="189">
        <f>ORIG!D76/ORIG!$J76</f>
        <v>0.017348399793809626</v>
      </c>
      <c r="E82" s="189">
        <f>ORIG!E76/ORIG!$J76</f>
        <v>0.0028125662130599176</v>
      </c>
      <c r="F82" s="189">
        <f>ORIG!F76/ORIG!$J76</f>
        <v>0.7201853697069418</v>
      </c>
      <c r="G82" s="189">
        <f>ORIG!G76/ORIG!$J76</f>
        <v>0</v>
      </c>
      <c r="H82" s="190">
        <f>ORIG!H76/ORIG!$J76</f>
        <v>0.0004192571871774719</v>
      </c>
      <c r="I82" s="268"/>
      <c r="J82" s="191">
        <f>ORIG!I76/ORIG!$J76</f>
        <v>0.018230610148151152</v>
      </c>
      <c r="K82" s="133">
        <f t="shared" si="1"/>
        <v>1</v>
      </c>
    </row>
    <row r="83" spans="1:12" ht="12.75">
      <c r="A83" s="505"/>
      <c r="B83" s="36" t="s">
        <v>8</v>
      </c>
      <c r="C83" s="192">
        <f>ORIG!C77/ORIG!$J77</f>
        <v>0.5210208152215969</v>
      </c>
      <c r="D83" s="192">
        <f>ORIG!D77/ORIG!$J77</f>
        <v>0</v>
      </c>
      <c r="E83" s="192">
        <f>ORIG!E77/ORIG!$J77</f>
        <v>0.00022267413933377625</v>
      </c>
      <c r="F83" s="192">
        <f>ORIG!F77/ORIG!$J77</f>
        <v>0.48208219143701503</v>
      </c>
      <c r="G83" s="192">
        <f>ORIG!G77/ORIG!$J77</f>
        <v>0</v>
      </c>
      <c r="H83" s="193">
        <f>ORIG!H77/ORIG!$J77</f>
        <v>-0.0033256807979458757</v>
      </c>
      <c r="I83" s="269"/>
      <c r="J83" s="194">
        <f>ORIG!I77/ORIG!$J77</f>
        <v>0</v>
      </c>
      <c r="K83" s="133">
        <f t="shared" si="1"/>
        <v>0.9999999999999999</v>
      </c>
      <c r="L83" s="6">
        <f>SUM(K82:K83)</f>
        <v>2</v>
      </c>
    </row>
    <row r="84" spans="1:11" ht="12.75">
      <c r="A84" s="529">
        <v>36739</v>
      </c>
      <c r="B84" s="38" t="s">
        <v>7</v>
      </c>
      <c r="C84" s="195">
        <f>ORIG!C78/ORIG!$J78</f>
        <v>0.23507331436076428</v>
      </c>
      <c r="D84" s="195">
        <f>ORIG!D78/ORIG!$J78</f>
        <v>0.011964237621399369</v>
      </c>
      <c r="E84" s="195">
        <f>ORIG!E78/ORIG!$J78</f>
        <v>0.0026950174467131635</v>
      </c>
      <c r="F84" s="195">
        <f>ORIG!F78/ORIG!$J78</f>
        <v>0.7177920050456355</v>
      </c>
      <c r="G84" s="195">
        <f>ORIG!G78/ORIG!$J78</f>
        <v>0</v>
      </c>
      <c r="H84" s="196">
        <f>ORIG!H78/ORIG!$J78</f>
        <v>0.0208415841718744</v>
      </c>
      <c r="I84" s="270"/>
      <c r="J84" s="197">
        <f>ORIG!I78/ORIG!$J78</f>
        <v>0.01163384135361325</v>
      </c>
      <c r="K84" s="140">
        <f t="shared" si="1"/>
        <v>0.9999999999999999</v>
      </c>
    </row>
    <row r="85" spans="1:12" ht="12.75">
      <c r="A85" s="530"/>
      <c r="B85" s="40" t="s">
        <v>8</v>
      </c>
      <c r="C85" s="168">
        <f>ORIG!C79/ORIG!$J79</f>
        <v>0.35949326771105555</v>
      </c>
      <c r="D85" s="168">
        <f>ORIG!D79/ORIG!$J79</f>
        <v>0</v>
      </c>
      <c r="E85" s="168">
        <f>ORIG!E79/ORIG!$J79</f>
        <v>0.019720054889872808</v>
      </c>
      <c r="F85" s="168">
        <f>ORIG!F79/ORIG!$J79</f>
        <v>0.4046426592821187</v>
      </c>
      <c r="G85" s="168">
        <f>ORIG!G79/ORIG!$J79</f>
        <v>0</v>
      </c>
      <c r="H85" s="169">
        <f>ORIG!H79/ORIG!$J79</f>
        <v>0.2159750904569812</v>
      </c>
      <c r="I85" s="261"/>
      <c r="J85" s="170">
        <f>ORIG!I79/ORIG!$J79</f>
        <v>0.00016892765997172712</v>
      </c>
      <c r="K85" s="140">
        <f t="shared" si="1"/>
        <v>1</v>
      </c>
      <c r="L85" s="6">
        <f>SUM(K84:K85)</f>
        <v>2</v>
      </c>
    </row>
    <row r="86" spans="1:11" ht="12.75">
      <c r="A86" s="497">
        <f>A84+366</f>
        <v>37105</v>
      </c>
      <c r="B86" s="26" t="s">
        <v>7</v>
      </c>
      <c r="C86" s="171">
        <f>ORIG!C80/ORIG!$J80</f>
        <v>0.2139722195855568</v>
      </c>
      <c r="D86" s="171">
        <f>ORIG!D80/ORIG!$J80</f>
        <v>0.008702497370874734</v>
      </c>
      <c r="E86" s="171">
        <f>ORIG!E80/ORIG!$J80</f>
        <v>0.0009536867594935212</v>
      </c>
      <c r="F86" s="171">
        <f>ORIG!F80/ORIG!$J80</f>
        <v>0.7632417561607537</v>
      </c>
      <c r="G86" s="171">
        <f>ORIG!G80/ORIG!$J80</f>
        <v>0</v>
      </c>
      <c r="H86" s="172">
        <f>ORIG!H80/ORIG!$J80</f>
        <v>0.001999615981307413</v>
      </c>
      <c r="I86" s="262"/>
      <c r="J86" s="173">
        <f>ORIG!I80/ORIG!$J80</f>
        <v>0.01113022414201379</v>
      </c>
      <c r="K86" s="147">
        <f t="shared" si="1"/>
        <v>1</v>
      </c>
    </row>
    <row r="87" spans="1:12" ht="12.75">
      <c r="A87" s="497"/>
      <c r="B87" s="28" t="s">
        <v>8</v>
      </c>
      <c r="C87" s="174">
        <f>ORIG!C81/ORIG!$J81</f>
        <v>0.22785079634871577</v>
      </c>
      <c r="D87" s="174">
        <f>ORIG!D81/ORIG!$J81</f>
        <v>0.08314387298436815</v>
      </c>
      <c r="E87" s="174">
        <f>ORIG!E81/ORIG!$J81</f>
        <v>0.00015501301278969903</v>
      </c>
      <c r="F87" s="174">
        <f>ORIG!F81/ORIG!$J81</f>
        <v>0.34468598985487603</v>
      </c>
      <c r="G87" s="174">
        <f>ORIG!G81/ORIG!$J81</f>
        <v>0</v>
      </c>
      <c r="H87" s="175">
        <f>ORIG!H81/ORIG!$J81</f>
        <v>0.3297866832867561</v>
      </c>
      <c r="I87" s="263"/>
      <c r="J87" s="176">
        <f>ORIG!I81/ORIG!$J81</f>
        <v>0.01437764451249433</v>
      </c>
      <c r="K87" s="147">
        <f t="shared" si="1"/>
        <v>1</v>
      </c>
      <c r="L87" s="6">
        <f>SUM(K86:K87)</f>
        <v>2</v>
      </c>
    </row>
    <row r="88" spans="1:12" ht="12.75">
      <c r="A88" s="534">
        <v>37469</v>
      </c>
      <c r="B88" s="30" t="s">
        <v>7</v>
      </c>
      <c r="C88" s="177">
        <f>ORIG!C82/ORIG!$J82</f>
        <v>0.18043920788184906</v>
      </c>
      <c r="D88" s="177">
        <f>ORIG!D82/ORIG!$J82</f>
        <v>0.01775321272692157</v>
      </c>
      <c r="E88" s="177">
        <f>ORIG!E82/ORIG!$J82</f>
        <v>0</v>
      </c>
      <c r="F88" s="177">
        <f>ORIG!F82/ORIG!$J82</f>
        <v>0.7812783808931517</v>
      </c>
      <c r="G88" s="177">
        <f>ORIG!G82/ORIG!$J82</f>
        <v>0</v>
      </c>
      <c r="H88" s="178">
        <f>ORIG!H82/ORIG!$J82</f>
        <v>0.016207033836050273</v>
      </c>
      <c r="I88" s="264"/>
      <c r="J88" s="179">
        <f>ORIG!I82/ORIG!$J82</f>
        <v>0.004322164662027443</v>
      </c>
      <c r="K88" s="166">
        <f t="shared" si="1"/>
        <v>1</v>
      </c>
      <c r="L88" s="6"/>
    </row>
    <row r="89" spans="1:12" ht="12.75">
      <c r="A89" s="534"/>
      <c r="B89" s="32" t="s">
        <v>8</v>
      </c>
      <c r="C89" s="180">
        <f>ORIG!C83/ORIG!$J83</f>
        <v>0.1417075040190189</v>
      </c>
      <c r="D89" s="180">
        <f>ORIG!D83/ORIG!$J83</f>
        <v>0.18633948748883525</v>
      </c>
      <c r="E89" s="180">
        <f>ORIG!E83/ORIG!$J83</f>
        <v>0.04001192329459561</v>
      </c>
      <c r="F89" s="180">
        <f>ORIG!F83/ORIG!$J83</f>
        <v>0.19721533510145553</v>
      </c>
      <c r="G89" s="180">
        <f>ORIG!G83/ORIG!$J83</f>
        <v>0.011491586744315286</v>
      </c>
      <c r="H89" s="181">
        <f>ORIG!H83/ORIG!$J83</f>
        <v>0.3895332414361877</v>
      </c>
      <c r="I89" s="265"/>
      <c r="J89" s="182">
        <f>ORIG!I83/ORIG!$J83</f>
        <v>0.03370092191559153</v>
      </c>
      <c r="K89" s="166">
        <f t="shared" si="1"/>
        <v>0.9999999999999998</v>
      </c>
      <c r="L89" s="6">
        <f>SUM(K88:K89)</f>
        <v>1.9999999999999998</v>
      </c>
    </row>
    <row r="90" spans="1:12" ht="12.75">
      <c r="A90" s="519">
        <v>37834</v>
      </c>
      <c r="B90" s="115" t="s">
        <v>7</v>
      </c>
      <c r="C90" s="183">
        <f>ORIG!C84/ORIG!$J84</f>
        <v>0.1726039437978918</v>
      </c>
      <c r="D90" s="183">
        <f>ORIG!D84/ORIG!$J84</f>
        <v>0.019661040232057128</v>
      </c>
      <c r="E90" s="183">
        <f>ORIG!E84/ORIG!$J84</f>
        <v>0</v>
      </c>
      <c r="F90" s="183">
        <f>ORIG!F84/ORIG!$J84</f>
        <v>0.7986672718945507</v>
      </c>
      <c r="G90" s="183">
        <f>ORIG!G84/ORIG!$J84</f>
        <v>0</v>
      </c>
      <c r="H90" s="184">
        <f>ORIG!H84/ORIG!$J84</f>
        <v>0.0013237623599208755</v>
      </c>
      <c r="I90" s="266"/>
      <c r="J90" s="185">
        <f>ORIG!I84/ORIG!$J84</f>
        <v>0.0077439817155796065</v>
      </c>
      <c r="K90" s="167">
        <f t="shared" si="1"/>
        <v>1</v>
      </c>
      <c r="L90" s="6"/>
    </row>
    <row r="91" spans="1:12" ht="12.75">
      <c r="A91" s="520"/>
      <c r="B91" s="119" t="s">
        <v>8</v>
      </c>
      <c r="C91" s="186">
        <f>ORIG!C85/ORIG!$J85</f>
        <v>0.18627300950236547</v>
      </c>
      <c r="D91" s="186">
        <f>ORIG!D85/ORIG!$J85</f>
        <v>0.15433994209415403</v>
      </c>
      <c r="E91" s="186">
        <f>ORIG!E85/ORIG!$J85</f>
        <v>0.1216191812895788</v>
      </c>
      <c r="F91" s="186">
        <f>ORIG!F85/ORIG!$J85</f>
        <v>0.21178428607049626</v>
      </c>
      <c r="G91" s="186">
        <f>ORIG!G85/ORIG!$J85</f>
        <v>0.011020490494859656</v>
      </c>
      <c r="H91" s="187">
        <f>ORIG!H85/ORIG!$J85</f>
        <v>0.29433659133636086</v>
      </c>
      <c r="I91" s="267"/>
      <c r="J91" s="188">
        <f>ORIG!I85/ORIG!$J85</f>
        <v>0.020626499212184898</v>
      </c>
      <c r="K91" s="167">
        <f t="shared" si="1"/>
        <v>0.9999999999999999</v>
      </c>
      <c r="L91" s="6">
        <f>SUM(K90:K91)</f>
        <v>2</v>
      </c>
    </row>
    <row r="92" spans="1:11" ht="12.75">
      <c r="A92" s="504">
        <v>36404</v>
      </c>
      <c r="B92" s="34" t="s">
        <v>7</v>
      </c>
      <c r="C92" s="189">
        <f>ORIG!C86/ORIG!$J86</f>
        <v>0.20660540544786812</v>
      </c>
      <c r="D92" s="189">
        <f>ORIG!D86/ORIG!$J86</f>
        <v>0.017910470532729077</v>
      </c>
      <c r="E92" s="189">
        <f>ORIG!E86/ORIG!$J86</f>
        <v>0.003182579211974792</v>
      </c>
      <c r="F92" s="189">
        <f>ORIG!F86/ORIG!$J86</f>
        <v>0.7567920163487769</v>
      </c>
      <c r="G92" s="189">
        <f>ORIG!G86/ORIG!$J86</f>
        <v>0</v>
      </c>
      <c r="H92" s="190">
        <f>ORIG!H86/ORIG!$J86</f>
        <v>0.00022896517890846975</v>
      </c>
      <c r="I92" s="268"/>
      <c r="J92" s="191">
        <f>ORIG!I86/ORIG!$J86</f>
        <v>0.015280563279742577</v>
      </c>
      <c r="K92" s="133">
        <f t="shared" si="1"/>
        <v>1</v>
      </c>
    </row>
    <row r="93" spans="1:12" ht="12.75">
      <c r="A93" s="505"/>
      <c r="B93" s="36" t="s">
        <v>8</v>
      </c>
      <c r="C93" s="192">
        <f>ORIG!C87/ORIG!$J87</f>
        <v>0.5117802253135308</v>
      </c>
      <c r="D93" s="192">
        <f>ORIG!D87/ORIG!$J87</f>
        <v>0</v>
      </c>
      <c r="E93" s="192">
        <f>ORIG!E87/ORIG!$J87</f>
        <v>0.025192273107116105</v>
      </c>
      <c r="F93" s="192">
        <f>ORIG!F87/ORIG!$J87</f>
        <v>0.45630909665946545</v>
      </c>
      <c r="G93" s="192">
        <f>ORIG!G87/ORIG!$J87</f>
        <v>0</v>
      </c>
      <c r="H93" s="193">
        <f>ORIG!H87/ORIG!$J87</f>
        <v>0.006718404919887691</v>
      </c>
      <c r="I93" s="269"/>
      <c r="J93" s="194">
        <f>ORIG!I87/ORIG!$J87</f>
        <v>0</v>
      </c>
      <c r="K93" s="133">
        <f t="shared" si="1"/>
        <v>1</v>
      </c>
      <c r="L93" s="6">
        <f>SUM(K92:K93)</f>
        <v>2</v>
      </c>
    </row>
    <row r="94" spans="1:11" ht="12.75">
      <c r="A94" s="529">
        <v>36770</v>
      </c>
      <c r="B94" s="38" t="s">
        <v>7</v>
      </c>
      <c r="C94" s="195">
        <f>ORIG!C88/ORIG!$J88</f>
        <v>0.2785538193894358</v>
      </c>
      <c r="D94" s="195">
        <f>ORIG!D88/ORIG!$J88</f>
        <v>0.010591879039534817</v>
      </c>
      <c r="E94" s="195">
        <f>ORIG!E88/ORIG!$J88</f>
        <v>0.005187050646300297</v>
      </c>
      <c r="F94" s="195">
        <f>ORIG!F88/ORIG!$J88</f>
        <v>0.6763353618129893</v>
      </c>
      <c r="G94" s="195">
        <f>ORIG!G88/ORIG!$J88</f>
        <v>0</v>
      </c>
      <c r="H94" s="196">
        <f>ORIG!H88/ORIG!$J88</f>
        <v>0.013176344199939941</v>
      </c>
      <c r="I94" s="270"/>
      <c r="J94" s="197">
        <f>ORIG!I88/ORIG!$J88</f>
        <v>0.016155544911799928</v>
      </c>
      <c r="K94" s="140">
        <f t="shared" si="1"/>
        <v>1</v>
      </c>
    </row>
    <row r="95" spans="1:12" ht="12.75">
      <c r="A95" s="530"/>
      <c r="B95" s="40" t="s">
        <v>8</v>
      </c>
      <c r="C95" s="168">
        <f>ORIG!C89/ORIG!$J89</f>
        <v>0.38792066337384207</v>
      </c>
      <c r="D95" s="168">
        <f>ORIG!D89/ORIG!$J89</f>
        <v>0</v>
      </c>
      <c r="E95" s="168">
        <f>ORIG!E89/ORIG!$J89</f>
        <v>0.03964552128031076</v>
      </c>
      <c r="F95" s="168">
        <f>ORIG!F89/ORIG!$J89</f>
        <v>0.39476886970303704</v>
      </c>
      <c r="G95" s="168">
        <f>ORIG!G89/ORIG!$J89</f>
        <v>0</v>
      </c>
      <c r="H95" s="169">
        <f>ORIG!H89/ORIG!$J89</f>
        <v>0.17558593360186545</v>
      </c>
      <c r="I95" s="261"/>
      <c r="J95" s="170">
        <f>ORIG!I89/ORIG!$J89</f>
        <v>0.002079012040944737</v>
      </c>
      <c r="K95" s="140">
        <f t="shared" si="1"/>
        <v>1</v>
      </c>
      <c r="L95" s="6">
        <f>SUM(K94:K95)</f>
        <v>2</v>
      </c>
    </row>
    <row r="96" spans="1:12" ht="12.75">
      <c r="A96" s="497">
        <f>A94+366</f>
        <v>37136</v>
      </c>
      <c r="B96" s="26" t="s">
        <v>7</v>
      </c>
      <c r="C96" s="171">
        <f>ORIG!C90/ORIG!$J90</f>
        <v>0.2580848189844129</v>
      </c>
      <c r="D96" s="171">
        <f>ORIG!D90/ORIG!$J90</f>
        <v>0.007876898861987993</v>
      </c>
      <c r="E96" s="171">
        <f>ORIG!E90/ORIG!$J90</f>
        <v>0.00207834644741108</v>
      </c>
      <c r="F96" s="171">
        <f>ORIG!F90/ORIG!$J90</f>
        <v>0.7222107107255713</v>
      </c>
      <c r="G96" s="171">
        <f>ORIG!G90/ORIG!$J90</f>
        <v>0</v>
      </c>
      <c r="H96" s="172">
        <f>ORIG!H90/ORIG!$J90</f>
        <v>0.0011870070515440684</v>
      </c>
      <c r="I96" s="262"/>
      <c r="J96" s="173">
        <f>ORIG!I90/ORIG!$J90</f>
        <v>0.008562217929072738</v>
      </c>
      <c r="K96" s="147">
        <f t="shared" si="1"/>
        <v>1</v>
      </c>
      <c r="L96" s="6"/>
    </row>
    <row r="97" spans="1:12" ht="12.75">
      <c r="A97" s="497"/>
      <c r="B97" s="28" t="s">
        <v>8</v>
      </c>
      <c r="C97" s="174">
        <f>ORIG!C91/ORIG!$J91</f>
        <v>0.21887060287521048</v>
      </c>
      <c r="D97" s="174">
        <f>ORIG!D91/ORIG!$J91</f>
        <v>0.13421305852775714</v>
      </c>
      <c r="E97" s="174">
        <f>ORIG!E91/ORIG!$J91</f>
        <v>0.0031871541208812974</v>
      </c>
      <c r="F97" s="174">
        <f>ORIG!F91/ORIG!$J91</f>
        <v>0.2919177980684476</v>
      </c>
      <c r="G97" s="174">
        <f>ORIG!G91/ORIG!$J91</f>
        <v>0</v>
      </c>
      <c r="H97" s="175">
        <f>ORIG!H91/ORIG!$J91</f>
        <v>0.3413972243364752</v>
      </c>
      <c r="I97" s="263"/>
      <c r="J97" s="176">
        <f>ORIG!I91/ORIG!$J91</f>
        <v>0.010414162071228307</v>
      </c>
      <c r="K97" s="147">
        <f t="shared" si="1"/>
        <v>1</v>
      </c>
      <c r="L97" s="6">
        <f>SUM(K96:K97)</f>
        <v>2</v>
      </c>
    </row>
    <row r="98" spans="1:12" ht="12.75">
      <c r="A98" s="534">
        <v>37500</v>
      </c>
      <c r="B98" s="30" t="s">
        <v>7</v>
      </c>
      <c r="C98" s="177">
        <f>ORIG!C92/ORIG!$J92</f>
        <v>0.19046327188154394</v>
      </c>
      <c r="D98" s="177">
        <f>ORIG!D92/ORIG!$J92</f>
        <v>0.020921138276406428</v>
      </c>
      <c r="E98" s="177">
        <f>ORIG!E92/ORIG!$J92</f>
        <v>0</v>
      </c>
      <c r="F98" s="177">
        <f>ORIG!F92/ORIG!$J92</f>
        <v>0.754086879399715</v>
      </c>
      <c r="G98" s="177">
        <f>ORIG!G92/ORIG!$J92</f>
        <v>0</v>
      </c>
      <c r="H98" s="178">
        <f>ORIG!H92/ORIG!$J92</f>
        <v>0.02920503724165094</v>
      </c>
      <c r="I98" s="264"/>
      <c r="J98" s="179">
        <f>ORIG!I92/ORIG!$J92</f>
        <v>0.00532367320068368</v>
      </c>
      <c r="K98" s="166">
        <f t="shared" si="1"/>
        <v>1</v>
      </c>
      <c r="L98" s="6"/>
    </row>
    <row r="99" spans="1:12" ht="12.75">
      <c r="A99" s="534"/>
      <c r="B99" s="32" t="s">
        <v>8</v>
      </c>
      <c r="C99" s="180">
        <f>ORIG!C93/ORIG!$J93</f>
        <v>0.18268802205200257</v>
      </c>
      <c r="D99" s="180">
        <f>ORIG!D93/ORIG!$J93</f>
        <v>0.18958324828211837</v>
      </c>
      <c r="E99" s="180">
        <f>ORIG!E93/ORIG!$J93</f>
        <v>0.0437190614260134</v>
      </c>
      <c r="F99" s="180">
        <f>ORIG!F93/ORIG!$J93</f>
        <v>0.25838539232195096</v>
      </c>
      <c r="G99" s="180">
        <f>ORIG!G93/ORIG!$J93</f>
        <v>0.004789900946105893</v>
      </c>
      <c r="H99" s="181">
        <f>ORIG!H93/ORIG!$J93</f>
        <v>0.2909157657353922</v>
      </c>
      <c r="I99" s="265"/>
      <c r="J99" s="182">
        <f>ORIG!I93/ORIG!$J93</f>
        <v>0.02991860923641669</v>
      </c>
      <c r="K99" s="166">
        <f t="shared" si="1"/>
        <v>1.0000000000000002</v>
      </c>
      <c r="L99" s="6">
        <f>SUM(K98:K99)</f>
        <v>2</v>
      </c>
    </row>
    <row r="100" spans="1:12" ht="12.75">
      <c r="A100" s="519">
        <v>37865</v>
      </c>
      <c r="B100" s="115" t="s">
        <v>7</v>
      </c>
      <c r="C100" s="183">
        <f>ORIG!C94/ORIG!$J94</f>
        <v>0.19683343747656204</v>
      </c>
      <c r="D100" s="183">
        <f>ORIG!D94/ORIG!$J94</f>
        <v>0.027310161931453518</v>
      </c>
      <c r="E100" s="183">
        <f>ORIG!E94/ORIG!$J94</f>
        <v>0</v>
      </c>
      <c r="F100" s="183">
        <f>ORIG!F94/ORIG!$J94</f>
        <v>0.7693939463184025</v>
      </c>
      <c r="G100" s="183">
        <f>ORIG!G94/ORIG!$J94</f>
        <v>0</v>
      </c>
      <c r="H100" s="184">
        <f>ORIG!H94/ORIG!$J94</f>
        <v>0.0006661249058103148</v>
      </c>
      <c r="I100" s="266"/>
      <c r="J100" s="185">
        <f>ORIG!I94/ORIG!$J94</f>
        <v>0.005796329367771759</v>
      </c>
      <c r="K100" s="167">
        <f t="shared" si="1"/>
        <v>1.0000000000000002</v>
      </c>
      <c r="L100" s="6"/>
    </row>
    <row r="101" spans="1:12" ht="12.75">
      <c r="A101" s="520"/>
      <c r="B101" s="119" t="s">
        <v>8</v>
      </c>
      <c r="C101" s="186">
        <f>ORIG!C95/ORIG!$J95</f>
        <v>0.18550844612425316</v>
      </c>
      <c r="D101" s="186">
        <f>ORIG!D95/ORIG!$J95</f>
        <v>0.14394143419637465</v>
      </c>
      <c r="E101" s="186">
        <f>ORIG!E95/ORIG!$J95</f>
        <v>0.10036499442368509</v>
      </c>
      <c r="F101" s="186">
        <f>ORIG!F95/ORIG!$J95</f>
        <v>0.2518164313797481</v>
      </c>
      <c r="G101" s="186">
        <f>ORIG!G95/ORIG!$J95</f>
        <v>0.004185228471422608</v>
      </c>
      <c r="H101" s="187">
        <f>ORIG!H95/ORIG!$J95</f>
        <v>0.3015487448425447</v>
      </c>
      <c r="I101" s="267"/>
      <c r="J101" s="188">
        <f>ORIG!I95/ORIG!$J95</f>
        <v>0.012634720561971721</v>
      </c>
      <c r="K101" s="167">
        <f t="shared" si="1"/>
        <v>0.9999999999999999</v>
      </c>
      <c r="L101" s="6">
        <f>SUM(K100:K101)</f>
        <v>2</v>
      </c>
    </row>
    <row r="102" spans="1:11" ht="12.75">
      <c r="A102" s="504">
        <v>36434</v>
      </c>
      <c r="B102" s="34" t="s">
        <v>7</v>
      </c>
      <c r="C102" s="189">
        <f>ORIG!C96/ORIG!$J96</f>
        <v>0.245781357192634</v>
      </c>
      <c r="D102" s="189">
        <f>ORIG!D96/ORIG!$J96</f>
        <v>0.023573366201286115</v>
      </c>
      <c r="E102" s="189">
        <f>ORIG!E96/ORIG!$J96</f>
        <v>0.0043215266632692755</v>
      </c>
      <c r="F102" s="189">
        <f>ORIG!F96/ORIG!$J96</f>
        <v>0.7071389099937703</v>
      </c>
      <c r="G102" s="189">
        <f>ORIG!G96/ORIG!$J96</f>
        <v>0</v>
      </c>
      <c r="H102" s="190">
        <f>ORIG!H96/ORIG!$J96</f>
        <v>0.0004241928709487141</v>
      </c>
      <c r="I102" s="268"/>
      <c r="J102" s="191">
        <f>ORIG!I96/ORIG!$J96</f>
        <v>0.018760647078091497</v>
      </c>
      <c r="K102" s="133">
        <f t="shared" si="1"/>
        <v>1</v>
      </c>
    </row>
    <row r="103" spans="1:12" ht="12.75">
      <c r="A103" s="505"/>
      <c r="B103" s="36" t="s">
        <v>8</v>
      </c>
      <c r="C103" s="192">
        <f>ORIG!C97/ORIG!$J97</f>
        <v>0.9955474461418892</v>
      </c>
      <c r="D103" s="192">
        <f>ORIG!D97/ORIG!$J97</f>
        <v>0</v>
      </c>
      <c r="E103" s="192">
        <f>ORIG!E97/ORIG!$J97</f>
        <v>0.0018819979112525203</v>
      </c>
      <c r="F103" s="192">
        <f>ORIG!F97/ORIG!$J97</f>
        <v>0</v>
      </c>
      <c r="G103" s="192">
        <f>ORIG!G97/ORIG!$J97</f>
        <v>0</v>
      </c>
      <c r="H103" s="193">
        <f>ORIG!H97/ORIG!$J97</f>
        <v>0.0025705559468583786</v>
      </c>
      <c r="I103" s="269"/>
      <c r="J103" s="194">
        <f>ORIG!I97/ORIG!$J97</f>
        <v>0</v>
      </c>
      <c r="K103" s="133">
        <f t="shared" si="1"/>
        <v>1</v>
      </c>
      <c r="L103" s="6">
        <f>SUM(K102:K103)</f>
        <v>2</v>
      </c>
    </row>
    <row r="104" spans="1:11" ht="12.75">
      <c r="A104" s="529">
        <v>36800</v>
      </c>
      <c r="B104" s="38" t="s">
        <v>7</v>
      </c>
      <c r="C104" s="195">
        <f>ORIG!C98/ORIG!$J98</f>
        <v>0.3023089706878159</v>
      </c>
      <c r="D104" s="195">
        <f>ORIG!D98/ORIG!$J98</f>
        <v>0.01302194510189865</v>
      </c>
      <c r="E104" s="195">
        <f>ORIG!E98/ORIG!$J98</f>
        <v>0.006260874012324216</v>
      </c>
      <c r="F104" s="195">
        <f>ORIG!F98/ORIG!$J98</f>
        <v>0.65194937142179</v>
      </c>
      <c r="G104" s="195">
        <f>ORIG!G98/ORIG!$J98</f>
        <v>0</v>
      </c>
      <c r="H104" s="196">
        <f>ORIG!H98/ORIG!$J98</f>
        <v>0.011097884134505657</v>
      </c>
      <c r="I104" s="270"/>
      <c r="J104" s="197">
        <f>ORIG!I98/ORIG!$J98</f>
        <v>0.015360954641665403</v>
      </c>
      <c r="K104" s="140">
        <f t="shared" si="1"/>
        <v>0.9999999999999998</v>
      </c>
    </row>
    <row r="105" spans="1:12" ht="12.75">
      <c r="A105" s="530"/>
      <c r="B105" s="40" t="s">
        <v>8</v>
      </c>
      <c r="C105" s="168">
        <f>ORIG!C99/ORIG!$J99</f>
        <v>0.3277225321810021</v>
      </c>
      <c r="D105" s="168">
        <f>ORIG!D99/ORIG!$J99</f>
        <v>0</v>
      </c>
      <c r="E105" s="168">
        <f>ORIG!E99/ORIG!$J99</f>
        <v>0.04804622681438667</v>
      </c>
      <c r="F105" s="168">
        <f>ORIG!F99/ORIG!$J99</f>
        <v>0.39609044864106263</v>
      </c>
      <c r="G105" s="168">
        <f>ORIG!G99/ORIG!$J99</f>
        <v>0</v>
      </c>
      <c r="H105" s="169">
        <f>ORIG!H99/ORIG!$J99</f>
        <v>0.22042907040795348</v>
      </c>
      <c r="I105" s="261"/>
      <c r="J105" s="170">
        <f>ORIG!I99/ORIG!$J99</f>
        <v>0.007711721955595142</v>
      </c>
      <c r="K105" s="140">
        <f t="shared" si="1"/>
        <v>1</v>
      </c>
      <c r="L105" s="6">
        <f>SUM(K104:K105)</f>
        <v>1.9999999999999998</v>
      </c>
    </row>
    <row r="106" spans="1:12" ht="12.75">
      <c r="A106" s="497">
        <f>A104+366</f>
        <v>37166</v>
      </c>
      <c r="B106" s="26" t="s">
        <v>7</v>
      </c>
      <c r="C106" s="171">
        <f>ORIG!C100/ORIG!$J100</f>
        <v>0.2413686309196951</v>
      </c>
      <c r="D106" s="171">
        <f>ORIG!D100/ORIG!$J100</f>
        <v>0.007566844965045521</v>
      </c>
      <c r="E106" s="171">
        <f>ORIG!E100/ORIG!$J100</f>
        <v>0.0013287995624336004</v>
      </c>
      <c r="F106" s="171">
        <f>ORIG!F100/ORIG!$J100</f>
        <v>0.7391657408193655</v>
      </c>
      <c r="G106" s="171">
        <f>ORIG!G100/ORIG!$J100</f>
        <v>0</v>
      </c>
      <c r="H106" s="172">
        <f>ORIG!H100/ORIG!$J100</f>
        <v>0.0007030787770869686</v>
      </c>
      <c r="I106" s="262"/>
      <c r="J106" s="173">
        <f>ORIG!I100/ORIG!$J100</f>
        <v>0.00986690495637329</v>
      </c>
      <c r="K106" s="147">
        <f t="shared" si="1"/>
        <v>1</v>
      </c>
      <c r="L106" s="6"/>
    </row>
    <row r="107" spans="1:12" ht="12.75">
      <c r="A107" s="497"/>
      <c r="B107" s="28" t="s">
        <v>8</v>
      </c>
      <c r="C107" s="174">
        <f>ORIG!C101/ORIG!$J101</f>
        <v>0.2212065457985311</v>
      </c>
      <c r="D107" s="174">
        <f>ORIG!D101/ORIG!$J101</f>
        <v>0.14446197567931565</v>
      </c>
      <c r="E107" s="174">
        <f>ORIG!E101/ORIG!$J101</f>
        <v>0.0011107661335957313</v>
      </c>
      <c r="F107" s="174">
        <f>ORIG!F101/ORIG!$J101</f>
        <v>0.3101693128900733</v>
      </c>
      <c r="G107" s="174">
        <f>ORIG!G101/ORIG!$J101</f>
        <v>0</v>
      </c>
      <c r="H107" s="175">
        <f>ORIG!H101/ORIG!$J101</f>
        <v>0.31709298857402196</v>
      </c>
      <c r="I107" s="263"/>
      <c r="J107" s="176">
        <f>ORIG!I101/ORIG!$J101</f>
        <v>0.0059584109244621404</v>
      </c>
      <c r="K107" s="147">
        <f t="shared" si="1"/>
        <v>1</v>
      </c>
      <c r="L107" s="6">
        <f>SUM(K106:K107)</f>
        <v>2</v>
      </c>
    </row>
    <row r="108" spans="1:12" ht="12.75">
      <c r="A108" s="534">
        <v>37530</v>
      </c>
      <c r="B108" s="30" t="s">
        <v>7</v>
      </c>
      <c r="C108" s="177">
        <f>ORIG!C102/ORIG!$J102</f>
        <v>0.2079632366786917</v>
      </c>
      <c r="D108" s="177">
        <f>ORIG!D102/ORIG!$J102</f>
        <v>0.018512760071329185</v>
      </c>
      <c r="E108" s="177">
        <f>ORIG!E102/ORIG!$J102</f>
        <v>0</v>
      </c>
      <c r="F108" s="177">
        <f>ORIG!F102/ORIG!$J102</f>
        <v>0.7434382026839217</v>
      </c>
      <c r="G108" s="177">
        <f>ORIG!G102/ORIG!$J102</f>
        <v>0</v>
      </c>
      <c r="H108" s="178">
        <f>ORIG!H102/ORIG!$J102</f>
        <v>0.023644948006071007</v>
      </c>
      <c r="I108" s="264"/>
      <c r="J108" s="179">
        <f>ORIG!I102/ORIG!$J102</f>
        <v>0.0064408525599864265</v>
      </c>
      <c r="K108" s="166">
        <f t="shared" si="1"/>
        <v>1</v>
      </c>
      <c r="L108" s="6"/>
    </row>
    <row r="109" spans="1:12" ht="12.75">
      <c r="A109" s="534"/>
      <c r="B109" s="32" t="s">
        <v>8</v>
      </c>
      <c r="C109" s="180">
        <f>ORIG!C103/ORIG!$J103</f>
        <v>0.1895314028343676</v>
      </c>
      <c r="D109" s="180">
        <f>ORIG!D103/ORIG!$J103</f>
        <v>0.2210947009495435</v>
      </c>
      <c r="E109" s="180">
        <f>ORIG!E103/ORIG!$J103</f>
        <v>0.02891043182093324</v>
      </c>
      <c r="F109" s="180">
        <f>ORIG!F103/ORIG!$J103</f>
        <v>0.18298133419683685</v>
      </c>
      <c r="G109" s="180">
        <f>ORIG!G103/ORIG!$J103</f>
        <v>0.00634451275249759</v>
      </c>
      <c r="H109" s="181">
        <f>ORIG!H103/ORIG!$J103</f>
        <v>0.31363836203790973</v>
      </c>
      <c r="I109" s="265"/>
      <c r="J109" s="182">
        <f>ORIG!I103/ORIG!$J103</f>
        <v>0.05749925540791149</v>
      </c>
      <c r="K109" s="166">
        <f t="shared" si="1"/>
        <v>0.9999999999999999</v>
      </c>
      <c r="L109" s="6">
        <f>SUM(K108:K109)</f>
        <v>2</v>
      </c>
    </row>
    <row r="110" spans="1:12" ht="12.75">
      <c r="A110" s="549">
        <v>37895</v>
      </c>
      <c r="B110" s="115" t="s">
        <v>7</v>
      </c>
      <c r="C110" s="183">
        <f>ORIG!C104/ORIG!$J104</f>
        <v>0.1975611474894527</v>
      </c>
      <c r="D110" s="183">
        <f>ORIG!D104/ORIG!$J104</f>
        <v>0.02578452359273859</v>
      </c>
      <c r="E110" s="183">
        <f>ORIG!E104/ORIG!$J104</f>
        <v>0</v>
      </c>
      <c r="F110" s="183">
        <f>ORIG!F104/ORIG!$J104</f>
        <v>0.7597580385575421</v>
      </c>
      <c r="G110" s="183">
        <f>ORIG!G104/ORIG!$J104</f>
        <v>0</v>
      </c>
      <c r="H110" s="183">
        <f>ORIG!H104/ORIG!$J104</f>
        <v>0.007545325503511305</v>
      </c>
      <c r="I110" s="184"/>
      <c r="J110" s="185">
        <f>ORIG!I104/ORIG!$J104</f>
        <v>0.00935096485675525</v>
      </c>
      <c r="K110" s="167">
        <f t="shared" si="1"/>
        <v>0.9999999999999999</v>
      </c>
      <c r="L110" s="6"/>
    </row>
    <row r="111" spans="1:12" ht="12.75">
      <c r="A111" s="550"/>
      <c r="B111" s="119" t="s">
        <v>8</v>
      </c>
      <c r="C111" s="186">
        <f>ORIG!C105/ORIG!$J105</f>
        <v>0.20688664952061828</v>
      </c>
      <c r="D111" s="186">
        <f>ORIG!D105/ORIG!$J105</f>
        <v>0.1755013091068783</v>
      </c>
      <c r="E111" s="186">
        <f>ORIG!E105/ORIG!$J105</f>
        <v>0.11615947491763556</v>
      </c>
      <c r="F111" s="186">
        <f>ORIG!F105/ORIG!$J105</f>
        <v>0.20870796080967788</v>
      </c>
      <c r="G111" s="186">
        <f>ORIG!G105/ORIG!$J105</f>
        <v>0.018492432589938282</v>
      </c>
      <c r="H111" s="186">
        <f>ORIG!H105/ORIG!$J105</f>
        <v>0.2601828306213053</v>
      </c>
      <c r="I111" s="187"/>
      <c r="J111" s="188">
        <f>ORIG!I105/ORIG!$J105</f>
        <v>0.014069342433946459</v>
      </c>
      <c r="K111" s="167">
        <f t="shared" si="1"/>
        <v>1</v>
      </c>
      <c r="L111" s="6">
        <f>SUM(K110:K111)</f>
        <v>2</v>
      </c>
    </row>
    <row r="112" spans="1:11" ht="12.75">
      <c r="A112" s="504">
        <v>36465</v>
      </c>
      <c r="B112" s="34" t="s">
        <v>7</v>
      </c>
      <c r="C112" s="189">
        <f>ORIG!C106/ORIG!$J106</f>
        <v>0.25328157456650807</v>
      </c>
      <c r="D112" s="189">
        <f>ORIG!D106/ORIG!$J106</f>
        <v>0.024306977612123533</v>
      </c>
      <c r="E112" s="189">
        <f>ORIG!E106/ORIG!$J106</f>
        <v>0.005897258356781921</v>
      </c>
      <c r="F112" s="189">
        <f>ORIG!F106/ORIG!$J106</f>
        <v>0.6988450036093637</v>
      </c>
      <c r="G112" s="189">
        <f>ORIG!G106/ORIG!$J106</f>
        <v>0</v>
      </c>
      <c r="H112" s="190">
        <f>ORIG!H106/ORIG!$J106</f>
        <v>0.0026999022770910984</v>
      </c>
      <c r="I112" s="268"/>
      <c r="J112" s="191">
        <f>ORIG!I106/ORIG!$J106</f>
        <v>0.014969283578131676</v>
      </c>
      <c r="K112" s="133">
        <f t="shared" si="1"/>
        <v>1</v>
      </c>
    </row>
    <row r="113" spans="1:12" ht="12.75">
      <c r="A113" s="505"/>
      <c r="B113" s="36" t="s">
        <v>8</v>
      </c>
      <c r="C113" s="192">
        <f>ORIG!C107/ORIG!$J107</f>
        <v>0.2906867862793426</v>
      </c>
      <c r="D113" s="192">
        <f>ORIG!D107/ORIG!$J107</f>
        <v>0</v>
      </c>
      <c r="E113" s="192">
        <f>ORIG!E107/ORIG!$J107</f>
        <v>0.009794319294809012</v>
      </c>
      <c r="F113" s="192">
        <f>ORIG!F107/ORIG!$J107</f>
        <v>0.6454671675043859</v>
      </c>
      <c r="G113" s="192">
        <f>ORIG!G107/ORIG!$J107</f>
        <v>0</v>
      </c>
      <c r="H113" s="193">
        <f>ORIG!H107/ORIG!$J107</f>
        <v>0.05405172692146248</v>
      </c>
      <c r="I113" s="269"/>
      <c r="J113" s="194">
        <f>ORIG!I107/ORIG!$J107</f>
        <v>0</v>
      </c>
      <c r="K113" s="133">
        <f t="shared" si="1"/>
        <v>1</v>
      </c>
      <c r="L113" s="6">
        <f>SUM(K112:K113)</f>
        <v>2</v>
      </c>
    </row>
    <row r="114" spans="1:11" ht="12.75">
      <c r="A114" s="529">
        <v>36831</v>
      </c>
      <c r="B114" s="38" t="s">
        <v>7</v>
      </c>
      <c r="C114" s="195">
        <f>ORIG!C108/ORIG!$J108</f>
        <v>0.31064408309461683</v>
      </c>
      <c r="D114" s="195">
        <f>ORIG!D108/ORIG!$J108</f>
        <v>0.01587242829799319</v>
      </c>
      <c r="E114" s="195">
        <f>ORIG!E108/ORIG!$J108</f>
        <v>0.005512639470261965</v>
      </c>
      <c r="F114" s="195">
        <f>ORIG!F108/ORIG!$J108</f>
        <v>0.6337071197208931</v>
      </c>
      <c r="G114" s="195">
        <f>ORIG!G108/ORIG!$J108</f>
        <v>0</v>
      </c>
      <c r="H114" s="196">
        <f>ORIG!H108/ORIG!$J108</f>
        <v>0.02198273464737695</v>
      </c>
      <c r="I114" s="270"/>
      <c r="J114" s="197">
        <f>ORIG!I108/ORIG!$J108</f>
        <v>0.012280994768857903</v>
      </c>
      <c r="K114" s="140">
        <f t="shared" si="1"/>
        <v>1</v>
      </c>
    </row>
    <row r="115" spans="1:12" ht="12.75">
      <c r="A115" s="530"/>
      <c r="B115" s="40" t="s">
        <v>8</v>
      </c>
      <c r="C115" s="168">
        <f>ORIG!C109/ORIG!$J109</f>
        <v>0.2074901764048234</v>
      </c>
      <c r="D115" s="168">
        <f>ORIG!D109/ORIG!$J109</f>
        <v>0</v>
      </c>
      <c r="E115" s="168">
        <f>ORIG!E109/ORIG!$J109</f>
        <v>0.02467395558807571</v>
      </c>
      <c r="F115" s="168">
        <f>ORIG!F109/ORIG!$J109</f>
        <v>0.5374853403699557</v>
      </c>
      <c r="G115" s="168">
        <f>ORIG!G109/ORIG!$J109</f>
        <v>0</v>
      </c>
      <c r="H115" s="169">
        <f>ORIG!H109/ORIG!$J109</f>
        <v>0.22631178130387822</v>
      </c>
      <c r="I115" s="261"/>
      <c r="J115" s="170">
        <f>ORIG!I109/ORIG!$J109</f>
        <v>0.00403874633326688</v>
      </c>
      <c r="K115" s="140">
        <f t="shared" si="1"/>
        <v>0.9999999999999998</v>
      </c>
      <c r="L115" s="6">
        <f>SUM(K114:K115)</f>
        <v>1.9999999999999998</v>
      </c>
    </row>
    <row r="116" spans="1:12" ht="12.75">
      <c r="A116" s="497">
        <f>A114+366</f>
        <v>37197</v>
      </c>
      <c r="B116" s="26" t="s">
        <v>7</v>
      </c>
      <c r="C116" s="171">
        <f>ORIG!C110/ORIG!$J110</f>
        <v>0.25674437725061755</v>
      </c>
      <c r="D116" s="171">
        <f>ORIG!D110/ORIG!$J110</f>
        <v>0.012592179512582501</v>
      </c>
      <c r="E116" s="171">
        <f>ORIG!E110/ORIG!$J110</f>
        <v>0.0016695979398984517</v>
      </c>
      <c r="F116" s="171">
        <f>ORIG!F110/ORIG!$J110</f>
        <v>0.7158023486734238</v>
      </c>
      <c r="G116" s="171">
        <f>ORIG!G110/ORIG!$J110</f>
        <v>0</v>
      </c>
      <c r="H116" s="172">
        <f>ORIG!H110/ORIG!$J110</f>
        <v>0.0019090406803878542</v>
      </c>
      <c r="I116" s="262"/>
      <c r="J116" s="173">
        <f>ORIG!I110/ORIG!$J110</f>
        <v>0.01128245594308975</v>
      </c>
      <c r="K116" s="147">
        <f t="shared" si="1"/>
        <v>1</v>
      </c>
      <c r="L116" s="6"/>
    </row>
    <row r="117" spans="1:12" ht="12.75">
      <c r="A117" s="497"/>
      <c r="B117" s="28" t="s">
        <v>8</v>
      </c>
      <c r="C117" s="174">
        <f>ORIG!C111/ORIG!$J111</f>
        <v>0.13941867161511245</v>
      </c>
      <c r="D117" s="174">
        <f>ORIG!D111/ORIG!$J111</f>
        <v>0.33911882581761427</v>
      </c>
      <c r="E117" s="174">
        <f>ORIG!E111/ORIG!$J111</f>
        <v>0.027584582251137666</v>
      </c>
      <c r="F117" s="174">
        <f>ORIG!F111/ORIG!$J111</f>
        <v>0.044837342839393536</v>
      </c>
      <c r="G117" s="174">
        <f>ORIG!G111/ORIG!$J111</f>
        <v>0</v>
      </c>
      <c r="H117" s="175">
        <f>ORIG!H111/ORIG!$J111</f>
        <v>0.427764550308493</v>
      </c>
      <c r="I117" s="263"/>
      <c r="J117" s="176">
        <f>ORIG!I111/ORIG!$J111</f>
        <v>0.021276027168249178</v>
      </c>
      <c r="K117" s="147">
        <f t="shared" si="1"/>
        <v>1.0000000000000002</v>
      </c>
      <c r="L117" s="6">
        <f>SUM(K116:K117)</f>
        <v>2</v>
      </c>
    </row>
    <row r="118" spans="1:12" ht="12.75">
      <c r="A118" s="534">
        <v>37561</v>
      </c>
      <c r="B118" s="30" t="s">
        <v>7</v>
      </c>
      <c r="C118" s="177">
        <f>ORIG!C112/ORIG!$J112</f>
        <v>0.3145857878369317</v>
      </c>
      <c r="D118" s="177">
        <f>ORIG!D112/ORIG!$J112</f>
        <v>0.029909458884821726</v>
      </c>
      <c r="E118" s="177">
        <f>ORIG!E112/ORIG!$J112</f>
        <v>0</v>
      </c>
      <c r="F118" s="177">
        <f>ORIG!F112/ORIG!$J112</f>
        <v>0.5943982980087373</v>
      </c>
      <c r="G118" s="177">
        <f>ORIG!G112/ORIG!$J112</f>
        <v>0</v>
      </c>
      <c r="H118" s="178">
        <f>ORIG!H112/ORIG!$J112</f>
        <v>0.05551748446994034</v>
      </c>
      <c r="I118" s="264"/>
      <c r="J118" s="179">
        <f>ORIG!I112/ORIG!$J112</f>
        <v>0.0055889707995688395</v>
      </c>
      <c r="K118" s="166">
        <f t="shared" si="1"/>
        <v>0.9999999999999999</v>
      </c>
      <c r="L118" s="6"/>
    </row>
    <row r="119" spans="1:12" ht="12.75">
      <c r="A119" s="534"/>
      <c r="B119" s="32" t="s">
        <v>8</v>
      </c>
      <c r="C119" s="180">
        <f>ORIG!C113/ORIG!$J113</f>
        <v>0.14208762324693722</v>
      </c>
      <c r="D119" s="180">
        <f>ORIG!D113/ORIG!$J113</f>
        <v>0.24888096632045656</v>
      </c>
      <c r="E119" s="180">
        <f>ORIG!E113/ORIG!$J113</f>
        <v>0.04307550422611967</v>
      </c>
      <c r="F119" s="180">
        <f>ORIG!F113/ORIG!$J113</f>
        <v>0.25512075115349114</v>
      </c>
      <c r="G119" s="180">
        <f>ORIG!G113/ORIG!$J113</f>
        <v>0.014205745312396538</v>
      </c>
      <c r="H119" s="181">
        <f>ORIG!H113/ORIG!$J113</f>
        <v>0.26617698969182174</v>
      </c>
      <c r="I119" s="265"/>
      <c r="J119" s="182">
        <f>ORIG!I113/ORIG!$J113</f>
        <v>0.03045242004877715</v>
      </c>
      <c r="K119" s="166">
        <f t="shared" si="1"/>
        <v>0.9999999999999999</v>
      </c>
      <c r="L119" s="6">
        <f>SUM(K118:K119)</f>
        <v>1.9999999999999998</v>
      </c>
    </row>
    <row r="120" spans="1:12" ht="12.75">
      <c r="A120" s="519">
        <v>37926</v>
      </c>
      <c r="B120" s="115" t="s">
        <v>7</v>
      </c>
      <c r="C120" s="183">
        <f>ORIG!C114/ORIG!$J114</f>
        <v>0.17863674250380954</v>
      </c>
      <c r="D120" s="183">
        <f>ORIG!D114/ORIG!$J114</f>
        <v>0.029082373098478234</v>
      </c>
      <c r="E120" s="183">
        <f>ORIG!E114/ORIG!$J114</f>
        <v>0</v>
      </c>
      <c r="F120" s="183">
        <f>ORIG!F114/ORIG!$J114</f>
        <v>0.7712933217144183</v>
      </c>
      <c r="G120" s="183">
        <f>ORIG!G114/ORIG!$J114</f>
        <v>0</v>
      </c>
      <c r="H120" s="183">
        <f>ORIG!H114/ORIG!$J114</f>
        <v>0.011060205601031572</v>
      </c>
      <c r="I120" s="184"/>
      <c r="J120" s="185">
        <f>ORIG!I114/ORIG!$J114</f>
        <v>0.009927357082262297</v>
      </c>
      <c r="K120" s="167">
        <f t="shared" si="1"/>
        <v>1</v>
      </c>
      <c r="L120" s="6"/>
    </row>
    <row r="121" spans="1:12" ht="12.75">
      <c r="A121" s="520"/>
      <c r="B121" s="119" t="s">
        <v>8</v>
      </c>
      <c r="C121" s="186">
        <f>ORIG!C115/ORIG!$J115</f>
        <v>0.2304197776249158</v>
      </c>
      <c r="D121" s="186">
        <f>ORIG!D115/ORIG!$J115</f>
        <v>0.1928237964572176</v>
      </c>
      <c r="E121" s="186">
        <f>ORIG!E115/ORIG!$J115</f>
        <v>0.12093185575881603</v>
      </c>
      <c r="F121" s="186">
        <f>ORIG!F115/ORIG!$J115</f>
        <v>0.21004380948309148</v>
      </c>
      <c r="G121" s="186">
        <f>ORIG!G115/ORIG!$J115</f>
        <v>0.02429995158495856</v>
      </c>
      <c r="H121" s="186">
        <f>ORIG!H115/ORIG!$J115</f>
        <v>0.2032699700676418</v>
      </c>
      <c r="I121" s="187"/>
      <c r="J121" s="188">
        <f>ORIG!I115/ORIG!$J115</f>
        <v>0.01821083902335867</v>
      </c>
      <c r="K121" s="167">
        <f t="shared" si="1"/>
        <v>1</v>
      </c>
      <c r="L121" s="6">
        <f>SUM(K120:K121)</f>
        <v>2</v>
      </c>
    </row>
    <row r="122" spans="1:11" ht="12.75">
      <c r="A122" s="504">
        <v>36495</v>
      </c>
      <c r="B122" s="34" t="s">
        <v>7</v>
      </c>
      <c r="C122" s="189">
        <f>ORIG!C116/ORIG!$J116</f>
        <v>0.24704375068389225</v>
      </c>
      <c r="D122" s="189">
        <f>ORIG!D116/ORIG!$J116</f>
        <v>0.01552509376237494</v>
      </c>
      <c r="E122" s="189">
        <f>ORIG!E116/ORIG!$J116</f>
        <v>0.0010240568838405042</v>
      </c>
      <c r="F122" s="189">
        <f>ORIG!F116/ORIG!$J116</f>
        <v>0.728395789963431</v>
      </c>
      <c r="G122" s="189">
        <f>ORIG!G116/ORIG!$J116</f>
        <v>0</v>
      </c>
      <c r="H122" s="190">
        <f>ORIG!H116/ORIG!$J116</f>
        <v>1.2518525716306425E-05</v>
      </c>
      <c r="I122" s="268"/>
      <c r="J122" s="191">
        <f>ORIG!I116/ORIG!$J116</f>
        <v>0.007998790180744963</v>
      </c>
      <c r="K122" s="133">
        <f t="shared" si="1"/>
        <v>1</v>
      </c>
    </row>
    <row r="123" spans="1:12" ht="12.75">
      <c r="A123" s="505"/>
      <c r="B123" s="36" t="s">
        <v>8</v>
      </c>
      <c r="C123" s="192">
        <f>ORIG!C117/ORIG!$J117</f>
        <v>0.3803856032372618</v>
      </c>
      <c r="D123" s="192">
        <f>ORIG!D117/ORIG!$J117</f>
        <v>0</v>
      </c>
      <c r="E123" s="192">
        <f>ORIG!E117/ORIG!$J117</f>
        <v>0.001718841964999889</v>
      </c>
      <c r="F123" s="192">
        <f>ORIG!F117/ORIG!$J117</f>
        <v>0.6178955547977384</v>
      </c>
      <c r="G123" s="192">
        <f>ORIG!G117/ORIG!$J117</f>
        <v>0</v>
      </c>
      <c r="H123" s="193">
        <f>ORIG!H117/ORIG!$J117</f>
        <v>0</v>
      </c>
      <c r="I123" s="269"/>
      <c r="J123" s="194">
        <f>ORIG!I117/ORIG!$J117</f>
        <v>0</v>
      </c>
      <c r="K123" s="133">
        <f t="shared" si="1"/>
        <v>1</v>
      </c>
      <c r="L123" s="6">
        <f>SUM(K122:K123)</f>
        <v>2</v>
      </c>
    </row>
    <row r="124" spans="1:12" ht="12.75">
      <c r="A124" s="510">
        <f>A122+366</f>
        <v>36861</v>
      </c>
      <c r="B124" s="42" t="s">
        <v>7</v>
      </c>
      <c r="C124" s="199">
        <f>ORIG!C118/ORIG!$J118</f>
        <v>0.3352338714484531</v>
      </c>
      <c r="D124" s="199">
        <f>ORIG!D118/ORIG!$J118</f>
        <v>0.025309440739300738</v>
      </c>
      <c r="E124" s="199">
        <f>ORIG!E118/ORIG!$J118</f>
        <v>0.005285894092262166</v>
      </c>
      <c r="F124" s="199">
        <f>ORIG!F118/ORIG!$J118</f>
        <v>0.6043375406371951</v>
      </c>
      <c r="G124" s="199">
        <f>ORIG!G118/ORIG!$J118</f>
        <v>0</v>
      </c>
      <c r="H124" s="200">
        <f>ORIG!H118/ORIG!$J118</f>
        <v>0.02260704828538838</v>
      </c>
      <c r="I124" s="271"/>
      <c r="J124" s="201">
        <f>ORIG!I118/ORIG!$J118</f>
        <v>0.007226204797400514</v>
      </c>
      <c r="K124" s="202">
        <f t="shared" si="1"/>
        <v>1</v>
      </c>
      <c r="L124" s="6"/>
    </row>
    <row r="125" spans="1:12" ht="12.75">
      <c r="A125" s="510"/>
      <c r="B125" s="44" t="s">
        <v>8</v>
      </c>
      <c r="C125" s="203">
        <f>ORIG!C119/ORIG!$J119</f>
        <v>0.16252257729816505</v>
      </c>
      <c r="D125" s="203">
        <f>ORIG!D119/ORIG!$J119</f>
        <v>0</v>
      </c>
      <c r="E125" s="203">
        <f>ORIG!E119/ORIG!$J119</f>
        <v>0.03924021802808535</v>
      </c>
      <c r="F125" s="203">
        <f>ORIG!F119/ORIG!$J119</f>
        <v>0.44325952154734916</v>
      </c>
      <c r="G125" s="203">
        <f>ORIG!G119/ORIG!$J119</f>
        <v>0</v>
      </c>
      <c r="H125" s="204">
        <f>ORIG!H119/ORIG!$J119</f>
        <v>0.34852829764234533</v>
      </c>
      <c r="I125" s="272"/>
      <c r="J125" s="205">
        <f>ORIG!I119/ORIG!$J119</f>
        <v>0.00644938548405516</v>
      </c>
      <c r="K125" s="202">
        <f t="shared" si="1"/>
        <v>1.0000000000000002</v>
      </c>
      <c r="L125" s="6">
        <f>SUM(K124:K125)</f>
        <v>2</v>
      </c>
    </row>
    <row r="126" spans="1:14" ht="12.75">
      <c r="A126" s="497">
        <f>A124+366</f>
        <v>37227</v>
      </c>
      <c r="B126" s="46" t="s">
        <v>7</v>
      </c>
      <c r="C126" s="171">
        <f>ORIG!C120/ORIG!$J120</f>
        <v>0.3218064126102409</v>
      </c>
      <c r="D126" s="171">
        <f>ORIG!D120/ORIG!$J120</f>
        <v>0.015297654772144358</v>
      </c>
      <c r="E126" s="171">
        <f>ORIG!E120/ORIG!$J120</f>
        <v>0.00041912358313573575</v>
      </c>
      <c r="F126" s="171">
        <f>ORIG!F120/ORIG!$J120</f>
        <v>0.6550535882674914</v>
      </c>
      <c r="G126" s="171">
        <f>ORIG!G120/ORIG!$J120</f>
        <v>0</v>
      </c>
      <c r="H126" s="172">
        <f>ORIG!H120/ORIG!$J120</f>
        <v>0</v>
      </c>
      <c r="I126" s="262"/>
      <c r="J126" s="173">
        <f>ORIG!I120/ORIG!$J120</f>
        <v>0.007423220766987744</v>
      </c>
      <c r="K126" s="206">
        <f t="shared" si="1"/>
        <v>1</v>
      </c>
      <c r="N126" s="6"/>
    </row>
    <row r="127" spans="1:14" ht="12.75">
      <c r="A127" s="497"/>
      <c r="B127" s="47" t="s">
        <v>8</v>
      </c>
      <c r="C127" s="174">
        <f>ORIG!C121/ORIG!$J121</f>
        <v>0.08638358387259273</v>
      </c>
      <c r="D127" s="174">
        <f>ORIG!D121/ORIG!$J121</f>
        <v>0.2675026059051447</v>
      </c>
      <c r="E127" s="174">
        <f>ORIG!E121/ORIG!$J121</f>
        <v>0.007954412227927471</v>
      </c>
      <c r="F127" s="174">
        <f>ORIG!F121/ORIG!$J121</f>
        <v>0.3727684635276241</v>
      </c>
      <c r="G127" s="174">
        <f>ORIG!G121/ORIG!$J121</f>
        <v>0</v>
      </c>
      <c r="H127" s="175">
        <f>ORIG!H121/ORIG!$J121</f>
        <v>0.2500550191699457</v>
      </c>
      <c r="I127" s="263"/>
      <c r="J127" s="176">
        <f>ORIG!I121/ORIG!$J121</f>
        <v>0.015335915296765337</v>
      </c>
      <c r="K127" s="206">
        <f t="shared" si="1"/>
        <v>1.0000000000000002</v>
      </c>
      <c r="L127" s="6">
        <f>SUM(K126:K127)</f>
        <v>2</v>
      </c>
      <c r="N127" s="6"/>
    </row>
    <row r="128" spans="1:14" ht="12.75">
      <c r="A128" s="534">
        <v>37591</v>
      </c>
      <c r="B128" s="30" t="s">
        <v>7</v>
      </c>
      <c r="C128" s="177">
        <f>ORIG!C122/ORIG!$J122</f>
        <v>0.28102160100086504</v>
      </c>
      <c r="D128" s="177">
        <f>ORIG!D122/ORIG!$J122</f>
        <v>0.024110435951898386</v>
      </c>
      <c r="E128" s="177">
        <f>ORIG!E122/ORIG!$J122</f>
        <v>0</v>
      </c>
      <c r="F128" s="177">
        <f>ORIG!F122/ORIG!$J122</f>
        <v>0.61282149179642</v>
      </c>
      <c r="G128" s="177">
        <f>ORIG!G122/ORIG!$J122</f>
        <v>0</v>
      </c>
      <c r="H128" s="178">
        <f>ORIG!H122/ORIG!$J122</f>
        <v>0.07232704616831731</v>
      </c>
      <c r="I128" s="264"/>
      <c r="J128" s="179">
        <f>ORIG!I122/ORIG!$J122</f>
        <v>0.009719425082499237</v>
      </c>
      <c r="K128" s="166">
        <f t="shared" si="1"/>
        <v>0.9999999999999999</v>
      </c>
      <c r="L128" s="6"/>
      <c r="N128" s="6"/>
    </row>
    <row r="129" spans="1:14" ht="12.75">
      <c r="A129" s="534"/>
      <c r="B129" s="32" t="s">
        <v>8</v>
      </c>
      <c r="C129" s="180">
        <f>ORIG!C123/ORIG!$J123</f>
        <v>0.2826981647204341</v>
      </c>
      <c r="D129" s="180">
        <f>ORIG!D123/ORIG!$J123</f>
        <v>0.26063716764097594</v>
      </c>
      <c r="E129" s="180">
        <f>ORIG!E123/ORIG!$J123</f>
        <v>0.04397174169052009</v>
      </c>
      <c r="F129" s="180">
        <f>ORIG!F123/ORIG!$J123</f>
        <v>0.18134182330275012</v>
      </c>
      <c r="G129" s="180">
        <f>ORIG!G123/ORIG!$J123</f>
        <v>0.030334882319802674</v>
      </c>
      <c r="H129" s="181">
        <f>ORIG!H123/ORIG!$J123</f>
        <v>0.18245491059425015</v>
      </c>
      <c r="I129" s="265"/>
      <c r="J129" s="182">
        <f>ORIG!I123/ORIG!$J123</f>
        <v>0.01856130973126694</v>
      </c>
      <c r="K129" s="166">
        <f t="shared" si="1"/>
        <v>1</v>
      </c>
      <c r="L129" s="6">
        <f>SUM(K128:K129)</f>
        <v>2</v>
      </c>
      <c r="N129" s="6"/>
    </row>
    <row r="130" spans="1:14" ht="12.75">
      <c r="A130" s="519">
        <v>37956</v>
      </c>
      <c r="B130" s="122" t="s">
        <v>7</v>
      </c>
      <c r="C130" s="183">
        <f>ORIG!C124/ORIG!$J124</f>
        <v>0.27300254601522866</v>
      </c>
      <c r="D130" s="183">
        <f>ORIG!D124/ORIG!$J124</f>
        <v>0.029872134958403993</v>
      </c>
      <c r="E130" s="183">
        <f>ORIG!E124/ORIG!$J124</f>
        <v>0</v>
      </c>
      <c r="F130" s="183">
        <f>ORIG!F124/ORIG!$J124</f>
        <v>0.6718158930683995</v>
      </c>
      <c r="G130" s="183">
        <f>ORIG!G124/ORIG!$J124</f>
        <v>0</v>
      </c>
      <c r="H130" s="183">
        <f>ORIG!H124/ORIG!$J124</f>
        <v>0.015317471263743557</v>
      </c>
      <c r="I130" s="184"/>
      <c r="J130" s="185">
        <f>ORIG!I124/ORIG!$J124</f>
        <v>0.009991954694224217</v>
      </c>
      <c r="K130" s="167">
        <f t="shared" si="1"/>
        <v>1</v>
      </c>
      <c r="L130" s="6"/>
      <c r="N130" s="6"/>
    </row>
    <row r="131" spans="1:14" ht="13.5" thickBot="1">
      <c r="A131" s="548"/>
      <c r="B131" s="123" t="s">
        <v>8</v>
      </c>
      <c r="C131" s="186">
        <f>ORIG!C125/ORIG!$J125</f>
        <v>0.2544103736310314</v>
      </c>
      <c r="D131" s="186">
        <f>ORIG!D125/ORIG!$J125</f>
        <v>0.2024447467535872</v>
      </c>
      <c r="E131" s="186">
        <f>ORIG!E125/ORIG!$J125</f>
        <v>0.10256765398924313</v>
      </c>
      <c r="F131" s="186">
        <f>ORIG!F125/ORIG!$J125</f>
        <v>0.18866470016306985</v>
      </c>
      <c r="G131" s="186">
        <f>ORIG!G125/ORIG!$J125</f>
        <v>0.03126019691739716</v>
      </c>
      <c r="H131" s="186">
        <f>ORIG!H125/ORIG!$J125</f>
        <v>0.20973166112224798</v>
      </c>
      <c r="I131" s="187"/>
      <c r="J131" s="188">
        <f>ORIG!I125/ORIG!$J125</f>
        <v>0.010920667423423564</v>
      </c>
      <c r="K131" s="167">
        <f t="shared" si="1"/>
        <v>1.0000000000000002</v>
      </c>
      <c r="L131" s="6">
        <f>SUM(K130:K131)</f>
        <v>2</v>
      </c>
      <c r="N131" s="6"/>
    </row>
    <row r="132" spans="3:14" ht="12.75">
      <c r="C132" s="15"/>
      <c r="D132" s="15"/>
      <c r="E132" s="15"/>
      <c r="F132" s="15"/>
      <c r="G132" s="15"/>
      <c r="H132" s="15"/>
      <c r="I132" s="15"/>
      <c r="J132" s="15"/>
      <c r="N132" s="6"/>
    </row>
    <row r="133" spans="1:12" ht="12.75">
      <c r="A133" t="s">
        <v>9</v>
      </c>
      <c r="B133" t="str">
        <f>B122</f>
        <v>Wholesale</v>
      </c>
      <c r="C133" s="207">
        <f>ORIG!C127/ORIG!$J127</f>
        <v>0.2394766022720996</v>
      </c>
      <c r="D133" s="207">
        <f>ORIG!D127/ORIG!$J127</f>
        <v>0.017223056896284894</v>
      </c>
      <c r="E133" s="207">
        <f>ORIG!E127/ORIG!$J127</f>
        <v>0.004856433792506961</v>
      </c>
      <c r="F133" s="207">
        <f>ORIG!F127/ORIG!$J127</f>
        <v>0.7221959007310773</v>
      </c>
      <c r="G133" s="207">
        <f>ORIG!G127/ORIG!$J127</f>
        <v>0</v>
      </c>
      <c r="H133" s="207">
        <f>ORIG!H127/ORIG!$J127</f>
        <v>0.0005556069153744562</v>
      </c>
      <c r="I133" s="207"/>
      <c r="J133" s="207">
        <f>ORIG!I127/ORIG!$J127</f>
        <v>0.015692399392656764</v>
      </c>
      <c r="K133" s="207">
        <f aca="true" t="shared" si="2" ref="K133:K147">SUM(C133:J133)</f>
        <v>1</v>
      </c>
      <c r="L133" s="6">
        <f>SUM(C133:J133)</f>
        <v>1</v>
      </c>
    </row>
    <row r="134" spans="2:12" ht="12.75">
      <c r="B134" t="str">
        <f>B123</f>
        <v>Retail</v>
      </c>
      <c r="C134" s="207">
        <f>ORIG!C128/ORIG!$J128</f>
        <v>0.48468391327531757</v>
      </c>
      <c r="D134" s="207">
        <f>ORIG!D128/ORIG!$J128</f>
        <v>0</v>
      </c>
      <c r="E134" s="207">
        <f>ORIG!E128/ORIG!$J128</f>
        <v>0.008354596982442728</v>
      </c>
      <c r="F134" s="207">
        <f>ORIG!F128/ORIG!$J128</f>
        <v>0.46983046745560086</v>
      </c>
      <c r="G134" s="207">
        <f>ORIG!G128/ORIG!$J128</f>
        <v>0</v>
      </c>
      <c r="H134" s="207">
        <f>ORIG!H128/ORIG!$J128</f>
        <v>0.037131022286638844</v>
      </c>
      <c r="I134" s="207"/>
      <c r="J134" s="207">
        <f>ORIG!I128/ORIG!$J128</f>
        <v>0</v>
      </c>
      <c r="K134" s="207">
        <f t="shared" si="2"/>
        <v>1</v>
      </c>
      <c r="L134" s="6">
        <f>SUM(C134:J134)</f>
        <v>1</v>
      </c>
    </row>
    <row r="135" spans="2:12" ht="12.75">
      <c r="B135" s="208" t="s">
        <v>21</v>
      </c>
      <c r="C135" s="209">
        <f>SUM(ORIG!C127:C128)/ORIG!$K128</f>
        <v>0.2456537153744026</v>
      </c>
      <c r="D135" s="209">
        <f>SUM(ORIG!D127:D128)/ORIG!$K128</f>
        <v>0.016789184145996647</v>
      </c>
      <c r="E135" s="209">
        <f>SUM(ORIG!E127:E128)/ORIG!$K128</f>
        <v>0.004944557387134459</v>
      </c>
      <c r="F135" s="209">
        <f>SUM(ORIG!F127:F128)/ORIG!$K128</f>
        <v>0.7158384645760278</v>
      </c>
      <c r="G135" s="209">
        <f>SUM(ORIG!G127:G128)/ORIG!$K128</f>
        <v>0</v>
      </c>
      <c r="H135" s="209">
        <f>SUM(ORIG!H127:H128)/ORIG!$K128</f>
        <v>0.0014769924833155591</v>
      </c>
      <c r="I135" s="209"/>
      <c r="J135" s="209">
        <f>SUM(ORIG!I127:I128)/ORIG!$K128</f>
        <v>0.015297086033122883</v>
      </c>
      <c r="K135" s="210">
        <f t="shared" si="2"/>
        <v>0.9999999999999999</v>
      </c>
      <c r="L135" s="6"/>
    </row>
    <row r="136" spans="1:12" ht="12.75">
      <c r="A136" t="s">
        <v>10</v>
      </c>
      <c r="B136" t="str">
        <f>B126</f>
        <v>Wholesale</v>
      </c>
      <c r="C136" s="207">
        <f>ORIG!C130/ORIG!$J130</f>
        <v>0.2698099053699562</v>
      </c>
      <c r="D136" s="207">
        <f>ORIG!D130/ORIG!$J130</f>
        <v>0.014456323422782353</v>
      </c>
      <c r="E136" s="207">
        <f>ORIG!E130/ORIG!$J130</f>
        <v>0.005092170028703165</v>
      </c>
      <c r="F136" s="207">
        <f>ORIG!F130/ORIG!$J130</f>
        <v>0.6835642031779782</v>
      </c>
      <c r="G136" s="207">
        <f>ORIG!G130/ORIG!$J130</f>
        <v>0</v>
      </c>
      <c r="H136" s="207">
        <f>ORIG!H130/ORIG!$J130</f>
        <v>0.014740896883721847</v>
      </c>
      <c r="I136" s="207"/>
      <c r="J136" s="207">
        <f>ORIG!I130/ORIG!$J130</f>
        <v>0.012336501116858304</v>
      </c>
      <c r="K136" s="207">
        <f t="shared" si="2"/>
        <v>1</v>
      </c>
      <c r="L136" s="6">
        <f>SUM(C136:J136)</f>
        <v>1</v>
      </c>
    </row>
    <row r="137" spans="2:12" ht="12.75">
      <c r="B137" t="str">
        <f>B127</f>
        <v>Retail</v>
      </c>
      <c r="C137" s="207">
        <f>ORIG!C131/ORIG!$J131</f>
        <v>0.259780306182311</v>
      </c>
      <c r="D137" s="207">
        <f>ORIG!D131/ORIG!$J131</f>
        <v>0</v>
      </c>
      <c r="E137" s="207">
        <f>ORIG!E131/ORIG!$J131</f>
        <v>0.02150503037943867</v>
      </c>
      <c r="F137" s="207">
        <f>ORIG!F131/ORIG!$J131</f>
        <v>0.5007872594739614</v>
      </c>
      <c r="G137" s="207">
        <f>ORIG!G131/ORIG!$J131</f>
        <v>0</v>
      </c>
      <c r="H137" s="207">
        <f>ORIG!H131/ORIG!$J131</f>
        <v>0.21546542440248434</v>
      </c>
      <c r="I137" s="207"/>
      <c r="J137" s="207">
        <f>ORIG!I131/ORIG!$J131</f>
        <v>0.0024619795618045343</v>
      </c>
      <c r="K137" s="207">
        <f t="shared" si="2"/>
        <v>0.9999999999999999</v>
      </c>
      <c r="L137" s="6">
        <f>SUM(C137:J137)</f>
        <v>0.9999999999999999</v>
      </c>
    </row>
    <row r="138" spans="2:12" ht="12.75">
      <c r="B138" s="208" t="s">
        <v>21</v>
      </c>
      <c r="C138" s="209">
        <f>SUM(ORIG!C130:C131)/ORIG!$K131</f>
        <v>0.26928608306750035</v>
      </c>
      <c r="D138" s="209">
        <f>SUM(ORIG!D130:D131)/ORIG!$K131</f>
        <v>0.013701303757620006</v>
      </c>
      <c r="E138" s="209">
        <f>SUM(ORIG!E130:E131)/ORIG!$K131</f>
        <v>0.005949375001500018</v>
      </c>
      <c r="F138" s="209">
        <f>SUM(ORIG!F130:F131)/ORIG!$K131</f>
        <v>0.6740181946390904</v>
      </c>
      <c r="G138" s="209">
        <f>SUM(ORIG!G130:G131)/ORIG!$K131</f>
        <v>0</v>
      </c>
      <c r="H138" s="209">
        <f>SUM(ORIG!H130:H131)/ORIG!$K131</f>
        <v>0.025224265381015572</v>
      </c>
      <c r="I138" s="209"/>
      <c r="J138" s="209">
        <f>SUM(ORIG!I130:I131)/ORIG!$K131</f>
        <v>0.011820778153273686</v>
      </c>
      <c r="K138" s="210">
        <f t="shared" si="2"/>
        <v>0.9999999999999999</v>
      </c>
      <c r="L138" s="6"/>
    </row>
    <row r="139" spans="1:12" ht="12.75">
      <c r="A139" t="s">
        <v>11</v>
      </c>
      <c r="B139" t="str">
        <f>B133</f>
        <v>Wholesale</v>
      </c>
      <c r="C139" s="207">
        <f>ORIG!C133/ORIG!$J133</f>
        <v>0.260705798822614</v>
      </c>
      <c r="D139" s="207">
        <f>ORIG!D133/ORIG!$J133</f>
        <v>0.011470036323344111</v>
      </c>
      <c r="E139" s="207">
        <f>ORIG!E133/ORIG!$J133</f>
        <v>0.0018140664794927578</v>
      </c>
      <c r="F139" s="207">
        <f>ORIG!F133/ORIG!$J133</f>
        <v>0.7124861827109549</v>
      </c>
      <c r="G139" s="207">
        <f>ORIG!G133/ORIG!$J133</f>
        <v>0</v>
      </c>
      <c r="H139" s="207">
        <f>ORIG!H133/ORIG!$J133</f>
        <v>0.004317106139693753</v>
      </c>
      <c r="I139" s="207"/>
      <c r="J139" s="207">
        <f>ORIG!I133/ORIG!$J133</f>
        <v>0.009206809523900596</v>
      </c>
      <c r="K139" s="207">
        <f t="shared" si="2"/>
        <v>1</v>
      </c>
      <c r="L139" s="6">
        <f>SUM(C139:J139)</f>
        <v>1</v>
      </c>
    </row>
    <row r="140" spans="2:12" ht="12.75">
      <c r="B140" t="str">
        <f>B134</f>
        <v>Retail</v>
      </c>
      <c r="C140" s="207">
        <f>ORIG!C134/ORIG!$J134</f>
        <v>0.17362147361353433</v>
      </c>
      <c r="D140" s="207">
        <f>ORIG!D134/ORIG!$J134</f>
        <v>0.0675698169796109</v>
      </c>
      <c r="E140" s="207">
        <f>ORIG!E134/ORIG!$J134</f>
        <v>0.016708589678327137</v>
      </c>
      <c r="F140" s="207">
        <f>ORIG!F134/ORIG!$J134</f>
        <v>0.4264629756844854</v>
      </c>
      <c r="G140" s="207">
        <f>ORIG!G134/ORIG!$J134</f>
        <v>0</v>
      </c>
      <c r="H140" s="207">
        <f>ORIG!H134/ORIG!$J134</f>
        <v>0.2998303800695993</v>
      </c>
      <c r="I140" s="207"/>
      <c r="J140" s="207">
        <f>ORIG!I134/ORIG!$J134</f>
        <v>0.015806763974443028</v>
      </c>
      <c r="K140" s="207">
        <f t="shared" si="2"/>
        <v>1</v>
      </c>
      <c r="L140" s="6">
        <f>SUM(C140:J140)</f>
        <v>1</v>
      </c>
    </row>
    <row r="141" spans="2:12" ht="12.75">
      <c r="B141" s="208" t="s">
        <v>21</v>
      </c>
      <c r="C141" s="209">
        <f>SUM(ORIG!C133:C134)/ORIG!$K134</f>
        <v>0.25432897746939864</v>
      </c>
      <c r="D141" s="209">
        <f>SUM(ORIG!D133:D134)/ORIG!$K134</f>
        <v>0.015577988912293842</v>
      </c>
      <c r="E141" s="209">
        <f>SUM(ORIG!E133:E134)/ORIG!$K134</f>
        <v>0.0029047301936830305</v>
      </c>
      <c r="F141" s="209">
        <f>SUM(ORIG!F133:F134)/ORIG!$K134</f>
        <v>0.6915418980799091</v>
      </c>
      <c r="G141" s="209">
        <f>SUM(ORIG!G133:G134)/ORIG!$K134</f>
        <v>0</v>
      </c>
      <c r="H141" s="209">
        <f>SUM(ORIG!H133:H134)/ORIG!$K134</f>
        <v>0.025956308726732005</v>
      </c>
      <c r="I141" s="209"/>
      <c r="J141" s="209">
        <f>SUM(ORIG!I133:I134)/ORIG!$K134</f>
        <v>0.00969009661798351</v>
      </c>
      <c r="K141" s="210">
        <f t="shared" si="2"/>
        <v>1.0000000000000002</v>
      </c>
      <c r="L141" s="6"/>
    </row>
    <row r="142" spans="1:12" ht="12.75">
      <c r="A142" t="s">
        <v>14</v>
      </c>
      <c r="B142" t="str">
        <f>B136</f>
        <v>Wholesale</v>
      </c>
      <c r="C142" s="207">
        <f>ORIG!C136/ORIG!$J136</f>
        <v>0.22272598248067388</v>
      </c>
      <c r="D142" s="207">
        <f>ORIG!D136/ORIG!$J136</f>
        <v>0.016507089219678417</v>
      </c>
      <c r="E142" s="207">
        <f>ORIG!E136/ORIG!$J136</f>
        <v>1.613428411541722E-05</v>
      </c>
      <c r="F142" s="207">
        <f>ORIG!F136/ORIG!$J136</f>
        <v>0.7218940694031597</v>
      </c>
      <c r="G142" s="207">
        <f>ORIG!G136/ORIG!$J136</f>
        <v>0</v>
      </c>
      <c r="H142" s="207">
        <f>ORIG!H136/ORIG!$J136</f>
        <v>0.03364062444662446</v>
      </c>
      <c r="I142" s="207"/>
      <c r="J142" s="207">
        <f>ORIG!I136/ORIG!$J136</f>
        <v>0.005216100165748256</v>
      </c>
      <c r="K142" s="207">
        <f t="shared" si="2"/>
        <v>1.0000000000000002</v>
      </c>
      <c r="L142" s="6">
        <f>SUM(C142:J142)</f>
        <v>1.0000000000000002</v>
      </c>
    </row>
    <row r="143" spans="2:12" ht="12.75">
      <c r="B143" t="str">
        <f>B137</f>
        <v>Retail</v>
      </c>
      <c r="C143" s="207">
        <f>ORIG!C137/ORIG!$J137</f>
        <v>0.1322869400807343</v>
      </c>
      <c r="D143" s="207">
        <f>ORIG!D137/ORIG!$J137</f>
        <v>0.2355142688177705</v>
      </c>
      <c r="E143" s="207">
        <f>ORIG!E137/ORIG!$J137</f>
        <v>0.038585307385644065</v>
      </c>
      <c r="F143" s="207">
        <f>ORIG!F137/ORIG!$J137</f>
        <v>0.2661433730540175</v>
      </c>
      <c r="G143" s="207">
        <f>ORIG!G137/ORIG!$J137</f>
        <v>0.01128929926401145</v>
      </c>
      <c r="H143" s="207">
        <f>ORIG!H137/ORIG!$J137</f>
        <v>0.28578037989931626</v>
      </c>
      <c r="I143" s="207"/>
      <c r="J143" s="207">
        <f>ORIG!I137/ORIG!$J137</f>
        <v>0.030400431498505787</v>
      </c>
      <c r="K143" s="207">
        <f t="shared" si="2"/>
        <v>0.9999999999999999</v>
      </c>
      <c r="L143" s="6">
        <f>SUM(C143:J143)</f>
        <v>0.9999999999999999</v>
      </c>
    </row>
    <row r="144" spans="2:11" ht="12.75">
      <c r="B144" s="208" t="s">
        <v>21</v>
      </c>
      <c r="C144" s="209">
        <f>SUM(ORIG!C136:C137)/ORIG!$K137</f>
        <v>0.21318980552374578</v>
      </c>
      <c r="D144" s="209">
        <f>SUM(ORIG!D136:D137)/ORIG!$K137</f>
        <v>0.039599894761</v>
      </c>
      <c r="E144" s="209">
        <f>SUM(ORIG!E136:E137)/ORIG!$K137</f>
        <v>0.0040829891514201026</v>
      </c>
      <c r="F144" s="209">
        <f>SUM(ORIG!F136:F137)/ORIG!$K137</f>
        <v>0.6738382831708242</v>
      </c>
      <c r="G144" s="209">
        <f>SUM(ORIG!G136:G137)/ORIG!$K137</f>
        <v>0.001190379206197825</v>
      </c>
      <c r="H144" s="209">
        <f>SUM(ORIG!H136:H137)/ORIG!$K137</f>
        <v>0.060227032949718644</v>
      </c>
      <c r="I144" s="209"/>
      <c r="J144" s="209">
        <f>SUM(ORIG!I136:I137)/ORIG!$K137</f>
        <v>0.007871615237093654</v>
      </c>
      <c r="K144" s="210">
        <f t="shared" si="2"/>
        <v>1</v>
      </c>
    </row>
    <row r="145" spans="1:12" ht="12.75">
      <c r="A145" t="s">
        <v>16</v>
      </c>
      <c r="B145" t="str">
        <f>B139</f>
        <v>Wholesale</v>
      </c>
      <c r="C145" s="207">
        <f>ORIG!C139/ORIG!$J139</f>
        <v>0.21083385673949054</v>
      </c>
      <c r="D145" s="207">
        <f>ORIG!D139/ORIG!$J139</f>
        <v>0.026937162728625768</v>
      </c>
      <c r="E145" s="207">
        <f>ORIG!E139/ORIG!$J139</f>
        <v>0</v>
      </c>
      <c r="F145" s="207">
        <f>ORIG!F139/ORIG!$J139</f>
        <v>0.7467442303676418</v>
      </c>
      <c r="G145" s="207">
        <f>ORIG!G139/ORIG!$J139</f>
        <v>0</v>
      </c>
      <c r="H145" s="207">
        <f>ORIG!H139/ORIG!$J139</f>
        <v>0.007101957254743039</v>
      </c>
      <c r="I145" s="207"/>
      <c r="J145" s="207">
        <f>ORIG!I139/ORIG!$J139</f>
        <v>0.008382792909498966</v>
      </c>
      <c r="K145" s="207">
        <f t="shared" si="2"/>
        <v>1.0000000000000002</v>
      </c>
      <c r="L145" s="6">
        <f>SUM(C145:J145)</f>
        <v>1.0000000000000002</v>
      </c>
    </row>
    <row r="146" spans="2:12" ht="12.75">
      <c r="B146" t="str">
        <f>B140</f>
        <v>Retail</v>
      </c>
      <c r="C146" s="207">
        <f>ORIG!C140/ORIG!$J140</f>
        <v>0.24037793008636377</v>
      </c>
      <c r="D146" s="207">
        <f>ORIG!D140/ORIG!$J140</f>
        <v>0.1798439456248779</v>
      </c>
      <c r="E146" s="207">
        <f>ORIG!E140/ORIG!$J140</f>
        <v>0.09841114003237704</v>
      </c>
      <c r="F146" s="207">
        <f>ORIG!F140/ORIG!$J140</f>
        <v>0.2051708486087826</v>
      </c>
      <c r="G146" s="207">
        <f>ORIG!G140/ORIG!$J140</f>
        <v>0.017408894446855474</v>
      </c>
      <c r="H146" s="207">
        <f>ORIG!H140/ORIG!$J140</f>
        <v>0.23844064690205322</v>
      </c>
      <c r="I146" s="207"/>
      <c r="J146" s="207">
        <f>ORIG!I140/ORIG!$J140</f>
        <v>0.020346594298690047</v>
      </c>
      <c r="K146" s="207">
        <f t="shared" si="2"/>
        <v>1.0000000000000002</v>
      </c>
      <c r="L146" s="6">
        <f>SUM(C146:J146)</f>
        <v>1.0000000000000002</v>
      </c>
    </row>
    <row r="147" spans="2:11" ht="12.75">
      <c r="B147" s="208" t="s">
        <v>21</v>
      </c>
      <c r="C147" s="209">
        <f>SUM(ORIG!C139:C140)/ORIG!$K140</f>
        <v>0.21552031878390174</v>
      </c>
      <c r="D147" s="209">
        <f>SUM(ORIG!D139:D140)/ORIG!$K140</f>
        <v>0.05119217407939297</v>
      </c>
      <c r="E147" s="209">
        <f>SUM(ORIG!E139:E140)/ORIG!$K140</f>
        <v>0.015610578375367487</v>
      </c>
      <c r="F147" s="209">
        <f>SUM(ORIG!F139:F140)/ORIG!$K140</f>
        <v>0.6608365402506687</v>
      </c>
      <c r="G147" s="209">
        <f>SUM(ORIG!G139:G140)/ORIG!$K140</f>
        <v>0.002761505568391219</v>
      </c>
      <c r="H147" s="209">
        <f>SUM(ORIG!H139:H140)/ORIG!$K140</f>
        <v>0.04379831850821527</v>
      </c>
      <c r="I147" s="209"/>
      <c r="J147" s="209">
        <f>SUM(ORIG!I139:I140)/ORIG!$K140</f>
        <v>0.010280564434062684</v>
      </c>
      <c r="K147" s="210">
        <f t="shared" si="2"/>
        <v>1</v>
      </c>
    </row>
  </sheetData>
  <sheetProtection/>
  <mergeCells count="62">
    <mergeCell ref="A6:A7"/>
    <mergeCell ref="A8:A9"/>
    <mergeCell ref="A10:A11"/>
    <mergeCell ref="A12:A13"/>
    <mergeCell ref="A14:A15"/>
    <mergeCell ref="A18:A19"/>
    <mergeCell ref="A20:A21"/>
    <mergeCell ref="A22:A23"/>
    <mergeCell ref="A16:A17"/>
    <mergeCell ref="A24:A25"/>
    <mergeCell ref="A26:A27"/>
    <mergeCell ref="A30:A31"/>
    <mergeCell ref="A32:A33"/>
    <mergeCell ref="A28:A29"/>
    <mergeCell ref="A34:A35"/>
    <mergeCell ref="A36:A37"/>
    <mergeCell ref="A38:A39"/>
    <mergeCell ref="A42:A43"/>
    <mergeCell ref="A40:A41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26:A127"/>
    <mergeCell ref="A128:A129"/>
    <mergeCell ref="A130:A131"/>
    <mergeCell ref="A118:A119"/>
    <mergeCell ref="A120:A121"/>
    <mergeCell ref="A122:A123"/>
    <mergeCell ref="A124:A125"/>
  </mergeCells>
  <printOptions/>
  <pageMargins left="0.25" right="0.25" top="0.5" bottom="0.25" header="0.5" footer="0.5"/>
  <pageSetup fitToHeight="2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5"/>
  <sheetViews>
    <sheetView zoomScale="75" zoomScaleNormal="75" zoomScalePageLayoutView="0" workbookViewId="0" topLeftCell="A1">
      <pane ySplit="1215" topLeftCell="A118" activePane="bottomLeft" state="split"/>
      <selection pane="topLeft" activeCell="G5" sqref="G5"/>
      <selection pane="bottomLeft" activeCell="G150" sqref="G150"/>
    </sheetView>
  </sheetViews>
  <sheetFormatPr defaultColWidth="9.140625" defaultRowHeight="12.75"/>
  <cols>
    <col min="2" max="2" width="10.7109375" style="0" customWidth="1"/>
    <col min="3" max="3" width="15.57421875" style="0" customWidth="1"/>
    <col min="4" max="5" width="13.7109375" style="0" customWidth="1"/>
    <col min="6" max="7" width="15.140625" style="0" customWidth="1"/>
    <col min="8" max="9" width="13.7109375" style="0" customWidth="1"/>
    <col min="10" max="10" width="14.8515625" style="0" customWidth="1"/>
    <col min="11" max="11" width="15.7109375" style="0" customWidth="1"/>
    <col min="12" max="12" width="14.8515625" style="0" customWidth="1"/>
    <col min="13" max="13" width="11.28125" style="0" customWidth="1"/>
    <col min="15" max="15" width="13.8515625" style="0" customWidth="1"/>
    <col min="16" max="17" width="11.28125" style="0" customWidth="1"/>
    <col min="18" max="18" width="13.8515625" style="0" customWidth="1"/>
    <col min="19" max="19" width="12.8515625" style="0" customWidth="1"/>
    <col min="20" max="20" width="11.28125" style="0" customWidth="1"/>
    <col min="21" max="21" width="13.8515625" style="0" customWidth="1"/>
  </cols>
  <sheetData>
    <row r="1" spans="1:2" ht="15.75">
      <c r="A1" s="1" t="s">
        <v>12</v>
      </c>
      <c r="B1" s="2"/>
    </row>
    <row r="2" spans="1:3" ht="12.75">
      <c r="A2" s="3" t="s">
        <v>13</v>
      </c>
      <c r="B2" s="16"/>
      <c r="C2" s="17"/>
    </row>
    <row r="5" spans="1:10" ht="13.5" thickBot="1">
      <c r="A5" s="3"/>
      <c r="B5" s="4"/>
      <c r="C5" s="4" t="s">
        <v>0</v>
      </c>
      <c r="D5" s="4" t="s">
        <v>1</v>
      </c>
      <c r="E5" s="4" t="s">
        <v>2</v>
      </c>
      <c r="F5" s="4" t="s">
        <v>3</v>
      </c>
      <c r="G5" s="4" t="s">
        <v>20</v>
      </c>
      <c r="H5" s="4" t="s">
        <v>4</v>
      </c>
      <c r="I5" s="4" t="s">
        <v>5</v>
      </c>
      <c r="J5" s="4" t="s">
        <v>6</v>
      </c>
    </row>
    <row r="6" spans="1:10" ht="12.75">
      <c r="A6" s="540">
        <v>36161</v>
      </c>
      <c r="B6" s="49" t="s">
        <v>7</v>
      </c>
      <c r="C6" s="72">
        <v>577134</v>
      </c>
      <c r="D6" s="72">
        <v>30736.2</v>
      </c>
      <c r="E6" s="72">
        <v>12664</v>
      </c>
      <c r="F6" s="72">
        <v>1383689</v>
      </c>
      <c r="G6" s="72"/>
      <c r="H6" s="96">
        <v>4305</v>
      </c>
      <c r="I6" s="50">
        <v>18694</v>
      </c>
      <c r="J6" s="5">
        <f aca="true" t="shared" si="0" ref="J6:J89">SUM(C6:I6)</f>
        <v>2027222.2</v>
      </c>
    </row>
    <row r="7" spans="1:21" ht="13.5" thickBot="1">
      <c r="A7" s="541"/>
      <c r="B7" s="51" t="s">
        <v>8</v>
      </c>
      <c r="C7" s="73">
        <v>29101</v>
      </c>
      <c r="D7" s="73">
        <v>0</v>
      </c>
      <c r="E7" s="73">
        <v>1102</v>
      </c>
      <c r="F7" s="73">
        <v>43504</v>
      </c>
      <c r="G7" s="73"/>
      <c r="H7" s="97">
        <v>1984</v>
      </c>
      <c r="I7" s="52">
        <v>0</v>
      </c>
      <c r="J7" s="5">
        <f t="shared" si="0"/>
        <v>75691</v>
      </c>
      <c r="K7" s="6">
        <f>SUM(J6:J7)</f>
        <v>2102913.2</v>
      </c>
      <c r="O7" s="7"/>
      <c r="P7" s="7"/>
      <c r="Q7" s="7"/>
      <c r="R7" s="7"/>
      <c r="S7" s="7"/>
      <c r="T7" s="7"/>
      <c r="U7" s="6"/>
    </row>
    <row r="8" spans="1:21" ht="12.75">
      <c r="A8" s="535">
        <v>36526</v>
      </c>
      <c r="B8" s="53" t="s">
        <v>7</v>
      </c>
      <c r="C8" s="74">
        <f>'[1]2000'!C8</f>
        <v>509651.92</v>
      </c>
      <c r="D8" s="74">
        <f>'[1]2000'!D8</f>
        <v>38791.51</v>
      </c>
      <c r="E8" s="74">
        <f>'[1]2000'!E8</f>
        <v>7931.75</v>
      </c>
      <c r="F8" s="74">
        <f>'[1]2000'!F8</f>
        <v>1239469</v>
      </c>
      <c r="G8" s="74"/>
      <c r="H8" s="98">
        <f>'[1]2000'!G8</f>
        <v>0</v>
      </c>
      <c r="I8" s="54">
        <f>'[1]2000'!H8</f>
        <v>10942.07</v>
      </c>
      <c r="J8" s="8">
        <f t="shared" si="0"/>
        <v>1806786.25</v>
      </c>
      <c r="O8" s="7"/>
      <c r="P8" s="7"/>
      <c r="Q8" s="7"/>
      <c r="R8" s="7"/>
      <c r="S8" s="7"/>
      <c r="T8" s="7"/>
      <c r="U8" s="6"/>
    </row>
    <row r="9" spans="1:21" ht="13.5" thickBot="1">
      <c r="A9" s="535"/>
      <c r="B9" s="55" t="s">
        <v>8</v>
      </c>
      <c r="C9" s="75">
        <f>'[1]2000'!C9</f>
        <v>26823.79</v>
      </c>
      <c r="D9" s="75">
        <f>'[1]2000'!D9</f>
        <v>0</v>
      </c>
      <c r="E9" s="75">
        <f>'[1]2000'!E9</f>
        <v>0</v>
      </c>
      <c r="F9" s="75">
        <f>'[1]2000'!F9</f>
        <v>65768.59</v>
      </c>
      <c r="G9" s="75"/>
      <c r="H9" s="99">
        <f>'[1]2000'!G9</f>
        <v>51082.7</v>
      </c>
      <c r="I9" s="56">
        <f>'[1]2000'!H9</f>
        <v>0</v>
      </c>
      <c r="J9" s="8">
        <f t="shared" si="0"/>
        <v>143675.08000000002</v>
      </c>
      <c r="K9" s="6">
        <f>SUM(J8:J9)</f>
        <v>1950461.33</v>
      </c>
      <c r="O9" s="7"/>
      <c r="P9" s="7"/>
      <c r="Q9" s="7"/>
      <c r="R9" s="7"/>
      <c r="S9" s="7"/>
      <c r="T9" s="7"/>
      <c r="U9" s="6"/>
    </row>
    <row r="10" spans="1:21" ht="12.75">
      <c r="A10" s="497">
        <f>A8+366</f>
        <v>36892</v>
      </c>
      <c r="B10" s="57" t="s">
        <v>7</v>
      </c>
      <c r="C10" s="76">
        <v>512365.97</v>
      </c>
      <c r="D10" s="76">
        <v>33403.1</v>
      </c>
      <c r="E10" s="76">
        <v>5329.11</v>
      </c>
      <c r="F10" s="76">
        <v>1167825</v>
      </c>
      <c r="G10" s="76"/>
      <c r="H10" s="100">
        <v>6184.37</v>
      </c>
      <c r="I10" s="58">
        <v>16045.04</v>
      </c>
      <c r="J10" s="9">
        <f t="shared" si="0"/>
        <v>1741152.59</v>
      </c>
      <c r="O10" s="7"/>
      <c r="P10" s="7"/>
      <c r="Q10" s="7"/>
      <c r="R10" s="7"/>
      <c r="S10" s="7"/>
      <c r="T10" s="7"/>
      <c r="U10" s="6"/>
    </row>
    <row r="11" spans="1:21" ht="13.5" thickBot="1">
      <c r="A11" s="497"/>
      <c r="B11" s="59" t="s">
        <v>8</v>
      </c>
      <c r="C11" s="77">
        <v>26966.63</v>
      </c>
      <c r="D11" s="77">
        <f>D9</f>
        <v>0</v>
      </c>
      <c r="E11" s="77">
        <v>8978.68</v>
      </c>
      <c r="F11" s="77">
        <v>101300.07</v>
      </c>
      <c r="G11" s="77"/>
      <c r="H11" s="10">
        <v>59156.01</v>
      </c>
      <c r="I11" s="60">
        <v>4182.07</v>
      </c>
      <c r="J11" s="9">
        <f t="shared" si="0"/>
        <v>200583.46000000002</v>
      </c>
      <c r="K11" s="6">
        <f>SUM(J10:J11)</f>
        <v>1941736.05</v>
      </c>
      <c r="O11" s="7"/>
      <c r="P11" s="7"/>
      <c r="Q11" s="7"/>
      <c r="R11" s="7"/>
      <c r="S11" s="7"/>
      <c r="T11" s="7"/>
      <c r="U11" s="6"/>
    </row>
    <row r="12" spans="1:21" ht="12.75">
      <c r="A12" s="534">
        <v>37258</v>
      </c>
      <c r="B12" s="61" t="s">
        <v>7</v>
      </c>
      <c r="C12" s="78">
        <v>365769.03</v>
      </c>
      <c r="D12" s="78">
        <v>14440.08</v>
      </c>
      <c r="E12" s="78">
        <v>636.51</v>
      </c>
      <c r="F12" s="78">
        <v>721047.49</v>
      </c>
      <c r="G12" s="78"/>
      <c r="H12" s="101">
        <v>3327.18</v>
      </c>
      <c r="I12" s="62">
        <v>6948.9</v>
      </c>
      <c r="J12" s="18">
        <f t="shared" si="0"/>
        <v>1112169.19</v>
      </c>
      <c r="K12" s="6"/>
      <c r="O12" s="7"/>
      <c r="P12" s="7"/>
      <c r="Q12" s="7"/>
      <c r="R12" s="7"/>
      <c r="S12" s="7"/>
      <c r="T12" s="7"/>
      <c r="U12" s="6"/>
    </row>
    <row r="13" spans="1:21" ht="13.5" thickBot="1">
      <c r="A13" s="534"/>
      <c r="B13" s="63" t="s">
        <v>8</v>
      </c>
      <c r="C13" s="79">
        <v>19251</v>
      </c>
      <c r="D13" s="79">
        <v>80911.45</v>
      </c>
      <c r="E13" s="79">
        <v>1284.59</v>
      </c>
      <c r="F13" s="79">
        <v>97734.64</v>
      </c>
      <c r="G13" s="79"/>
      <c r="H13" s="21">
        <v>83160.12</v>
      </c>
      <c r="I13" s="64">
        <v>6370.06</v>
      </c>
      <c r="J13" s="18">
        <f t="shared" si="0"/>
        <v>288711.86</v>
      </c>
      <c r="K13" s="6">
        <f>SUM(J12:J13)</f>
        <v>1400881.0499999998</v>
      </c>
      <c r="O13" s="7"/>
      <c r="P13" s="7"/>
      <c r="Q13" s="7"/>
      <c r="R13" s="7"/>
      <c r="S13" s="7"/>
      <c r="T13" s="7"/>
      <c r="U13" s="6"/>
    </row>
    <row r="14" spans="1:21" ht="12.75">
      <c r="A14" s="519">
        <v>37622</v>
      </c>
      <c r="B14" s="65" t="s">
        <v>7</v>
      </c>
      <c r="C14" s="80">
        <v>175432.7</v>
      </c>
      <c r="D14" s="80">
        <v>20783.86</v>
      </c>
      <c r="E14" s="80">
        <v>0</v>
      </c>
      <c r="F14" s="80">
        <v>653985.12</v>
      </c>
      <c r="G14" s="80"/>
      <c r="H14" s="102">
        <v>18308.75</v>
      </c>
      <c r="I14" s="66">
        <v>5291.48</v>
      </c>
      <c r="J14" s="48">
        <f t="shared" si="0"/>
        <v>873801.9099999999</v>
      </c>
      <c r="K14" s="6"/>
      <c r="O14" s="7"/>
      <c r="P14" s="7"/>
      <c r="Q14" s="7"/>
      <c r="R14" s="7"/>
      <c r="S14" s="7"/>
      <c r="T14" s="7"/>
      <c r="U14" s="6"/>
    </row>
    <row r="15" spans="1:21" ht="13.5" thickBot="1">
      <c r="A15" s="520"/>
      <c r="B15" s="68" t="s">
        <v>8</v>
      </c>
      <c r="C15" s="81">
        <v>82299.81</v>
      </c>
      <c r="D15" s="81">
        <v>87164.49</v>
      </c>
      <c r="E15" s="81">
        <v>20978.58</v>
      </c>
      <c r="F15" s="81">
        <v>68538.28</v>
      </c>
      <c r="G15" s="81">
        <v>13864.24</v>
      </c>
      <c r="H15" s="103">
        <v>81472</v>
      </c>
      <c r="I15" s="69">
        <v>12256.5</v>
      </c>
      <c r="J15" s="48">
        <f t="shared" si="0"/>
        <v>366573.9</v>
      </c>
      <c r="K15" s="6">
        <f>SUM(J14:J15)</f>
        <v>1240375.81</v>
      </c>
      <c r="O15" s="7"/>
      <c r="P15" s="7"/>
      <c r="Q15" s="7"/>
      <c r="R15" s="7"/>
      <c r="S15" s="7"/>
      <c r="T15" s="7"/>
      <c r="U15" s="6"/>
    </row>
    <row r="16" spans="1:20" ht="12.75">
      <c r="A16" s="545">
        <v>36192</v>
      </c>
      <c r="B16" s="49" t="s">
        <v>7</v>
      </c>
      <c r="C16" s="72">
        <v>404848</v>
      </c>
      <c r="D16" s="72">
        <v>23308</v>
      </c>
      <c r="E16" s="72">
        <v>3428</v>
      </c>
      <c r="F16" s="72">
        <v>1232633</v>
      </c>
      <c r="G16" s="72"/>
      <c r="H16" s="96">
        <v>3700.8</v>
      </c>
      <c r="I16" s="50">
        <v>28898</v>
      </c>
      <c r="J16" s="5">
        <f t="shared" si="0"/>
        <v>1696815.8</v>
      </c>
      <c r="O16" s="7"/>
      <c r="P16" s="7"/>
      <c r="Q16" s="7"/>
      <c r="R16" s="7"/>
      <c r="S16" s="7"/>
      <c r="T16" s="7"/>
    </row>
    <row r="17" spans="1:20" ht="13.5" thickBot="1">
      <c r="A17" s="545"/>
      <c r="B17" s="51" t="s">
        <v>8</v>
      </c>
      <c r="C17" s="73">
        <v>21308</v>
      </c>
      <c r="D17" s="73">
        <v>0</v>
      </c>
      <c r="E17" s="73">
        <v>402.57</v>
      </c>
      <c r="F17" s="73">
        <v>29391</v>
      </c>
      <c r="G17" s="73"/>
      <c r="H17" s="97">
        <v>5525.81</v>
      </c>
      <c r="I17" s="52">
        <v>0</v>
      </c>
      <c r="J17" s="5">
        <f t="shared" si="0"/>
        <v>56627.38</v>
      </c>
      <c r="K17" s="6">
        <f>SUM(J16:J17)</f>
        <v>1753443.18</v>
      </c>
      <c r="O17" s="7"/>
      <c r="P17" s="7"/>
      <c r="Q17" s="7"/>
      <c r="R17" s="7"/>
      <c r="S17" s="7"/>
      <c r="T17" s="7"/>
    </row>
    <row r="18" spans="1:21" ht="12.75">
      <c r="A18" s="535">
        <v>36557</v>
      </c>
      <c r="B18" s="53" t="s">
        <v>7</v>
      </c>
      <c r="C18" s="74">
        <f>'[1]2000'!C10</f>
        <v>462626.86</v>
      </c>
      <c r="D18" s="74">
        <f>'[1]2000'!D10</f>
        <v>23923.5</v>
      </c>
      <c r="E18" s="74">
        <f>'[1]2000'!E10</f>
        <v>6017.6</v>
      </c>
      <c r="F18" s="74">
        <f>'[1]2000'!F10</f>
        <v>1331757</v>
      </c>
      <c r="G18" s="74"/>
      <c r="H18" s="98">
        <f>'[1]2000'!G10</f>
        <v>0</v>
      </c>
      <c r="I18" s="54">
        <f>'[1]2000'!H10</f>
        <v>16010.58</v>
      </c>
      <c r="J18" s="8">
        <f t="shared" si="0"/>
        <v>1840335.54</v>
      </c>
      <c r="O18" s="7"/>
      <c r="P18" s="7"/>
      <c r="Q18" s="7"/>
      <c r="R18" s="7"/>
      <c r="S18" s="7"/>
      <c r="T18" s="7"/>
      <c r="U18" s="6"/>
    </row>
    <row r="19" spans="1:21" ht="13.5" thickBot="1">
      <c r="A19" s="535"/>
      <c r="B19" s="55" t="s">
        <v>8</v>
      </c>
      <c r="C19" s="75">
        <f>'[1]2000'!C11</f>
        <v>24348.78</v>
      </c>
      <c r="D19" s="75">
        <f>'[1]2000'!D11</f>
        <v>0</v>
      </c>
      <c r="E19" s="75">
        <f>'[1]2000'!E11</f>
        <v>384.99</v>
      </c>
      <c r="F19" s="75">
        <f>'[1]2000'!F11</f>
        <v>87397.52</v>
      </c>
      <c r="G19" s="75"/>
      <c r="H19" s="99">
        <f>'[1]2000'!G11</f>
        <v>51658.700000000004</v>
      </c>
      <c r="I19" s="56">
        <f>'[1]2000'!H11</f>
        <v>0</v>
      </c>
      <c r="J19" s="8">
        <f t="shared" si="0"/>
        <v>163789.99000000002</v>
      </c>
      <c r="K19" s="6">
        <f>SUM(J18:J19)</f>
        <v>2004125.53</v>
      </c>
      <c r="O19" s="7"/>
      <c r="P19" s="7"/>
      <c r="Q19" s="7"/>
      <c r="R19" s="7"/>
      <c r="S19" s="7"/>
      <c r="T19" s="7"/>
      <c r="U19" s="6"/>
    </row>
    <row r="20" spans="1:21" ht="12.75">
      <c r="A20" s="497">
        <f>A18+366</f>
        <v>36923</v>
      </c>
      <c r="B20" s="57" t="s">
        <v>7</v>
      </c>
      <c r="C20" s="76">
        <v>574318.18</v>
      </c>
      <c r="D20" s="76">
        <v>34802.18</v>
      </c>
      <c r="E20" s="76">
        <v>7103.22</v>
      </c>
      <c r="F20" s="76">
        <v>1246733</v>
      </c>
      <c r="G20" s="76"/>
      <c r="H20" s="100">
        <v>20540.54</v>
      </c>
      <c r="I20" s="58">
        <v>10797.96</v>
      </c>
      <c r="J20" s="9">
        <f t="shared" si="0"/>
        <v>1894295.08</v>
      </c>
      <c r="L20" s="11"/>
      <c r="M20" s="11"/>
      <c r="O20" s="7"/>
      <c r="P20" s="7"/>
      <c r="Q20" s="7"/>
      <c r="R20" s="7"/>
      <c r="S20" s="7"/>
      <c r="T20" s="7"/>
      <c r="U20" s="6"/>
    </row>
    <row r="21" spans="1:21" ht="13.5" thickBot="1">
      <c r="A21" s="497"/>
      <c r="B21" s="59" t="s">
        <v>8</v>
      </c>
      <c r="C21" s="77">
        <v>30227.27</v>
      </c>
      <c r="D21" s="92">
        <f>D19</f>
        <v>0</v>
      </c>
      <c r="E21" s="77">
        <v>7775.68</v>
      </c>
      <c r="F21" s="77">
        <v>116710.35</v>
      </c>
      <c r="G21" s="77"/>
      <c r="H21" s="10">
        <v>75783.67</v>
      </c>
      <c r="I21" s="60">
        <v>3528.55</v>
      </c>
      <c r="J21" s="9">
        <f t="shared" si="0"/>
        <v>234025.51999999996</v>
      </c>
      <c r="K21" s="6">
        <f>SUM(J20:J21)</f>
        <v>2128320.6</v>
      </c>
      <c r="L21" s="11"/>
      <c r="M21" s="11"/>
      <c r="O21" s="7"/>
      <c r="P21" s="7"/>
      <c r="Q21" s="7"/>
      <c r="R21" s="7"/>
      <c r="S21" s="7"/>
      <c r="T21" s="7"/>
      <c r="U21" s="6"/>
    </row>
    <row r="22" spans="1:21" ht="12.75">
      <c r="A22" s="534">
        <v>37288</v>
      </c>
      <c r="B22" s="61" t="s">
        <v>7</v>
      </c>
      <c r="C22" s="78">
        <v>362816.94</v>
      </c>
      <c r="D22" s="78">
        <v>5539.93</v>
      </c>
      <c r="E22" s="78">
        <v>0</v>
      </c>
      <c r="F22" s="78">
        <v>749348.2</v>
      </c>
      <c r="G22" s="78"/>
      <c r="H22" s="101">
        <v>1671.18</v>
      </c>
      <c r="I22" s="62">
        <v>9266.1</v>
      </c>
      <c r="J22" s="18">
        <f t="shared" si="0"/>
        <v>1128642.3499999999</v>
      </c>
      <c r="K22" s="6"/>
      <c r="L22" s="11"/>
      <c r="M22" s="11"/>
      <c r="O22" s="7"/>
      <c r="P22" s="7"/>
      <c r="Q22" s="7"/>
      <c r="R22" s="7"/>
      <c r="S22" s="7"/>
      <c r="T22" s="7"/>
      <c r="U22" s="6"/>
    </row>
    <row r="23" spans="1:21" ht="13.5" thickBot="1">
      <c r="A23" s="534"/>
      <c r="B23" s="63" t="s">
        <v>8</v>
      </c>
      <c r="C23" s="79">
        <v>19095.63</v>
      </c>
      <c r="D23" s="79">
        <v>94238.43</v>
      </c>
      <c r="E23" s="79">
        <v>802.05</v>
      </c>
      <c r="F23" s="79">
        <v>108679.59</v>
      </c>
      <c r="G23" s="79"/>
      <c r="H23" s="21">
        <v>87840.79</v>
      </c>
      <c r="I23" s="64">
        <v>8720.1</v>
      </c>
      <c r="J23" s="18">
        <f t="shared" si="0"/>
        <v>319376.58999999997</v>
      </c>
      <c r="K23" s="6">
        <f>SUM(J22:J23)</f>
        <v>1448018.94</v>
      </c>
      <c r="L23" s="11"/>
      <c r="M23" s="11"/>
      <c r="O23" s="7"/>
      <c r="P23" s="7"/>
      <c r="Q23" s="7"/>
      <c r="R23" s="7"/>
      <c r="S23" s="7"/>
      <c r="T23" s="7"/>
      <c r="U23" s="6"/>
    </row>
    <row r="24" spans="1:21" ht="12.75">
      <c r="A24" s="519">
        <v>37653</v>
      </c>
      <c r="B24" s="65" t="s">
        <v>7</v>
      </c>
      <c r="C24" s="80">
        <v>133932.35</v>
      </c>
      <c r="D24" s="80">
        <v>25800.43</v>
      </c>
      <c r="E24" s="80">
        <v>0</v>
      </c>
      <c r="F24" s="80">
        <v>592739.24</v>
      </c>
      <c r="G24" s="80"/>
      <c r="H24" s="102">
        <v>0</v>
      </c>
      <c r="I24" s="66">
        <v>2865.24</v>
      </c>
      <c r="J24" s="48">
        <f t="shared" si="0"/>
        <v>755337.26</v>
      </c>
      <c r="K24" s="6"/>
      <c r="L24" s="11"/>
      <c r="M24" s="11"/>
      <c r="O24" s="7"/>
      <c r="P24" s="7"/>
      <c r="Q24" s="7"/>
      <c r="R24" s="7"/>
      <c r="S24" s="7"/>
      <c r="T24" s="7"/>
      <c r="U24" s="6"/>
    </row>
    <row r="25" spans="1:21" ht="13.5" thickBot="1">
      <c r="A25" s="520"/>
      <c r="B25" s="68" t="s">
        <v>8</v>
      </c>
      <c r="C25" s="81">
        <v>139484.43</v>
      </c>
      <c r="D25" s="81">
        <v>77785.7</v>
      </c>
      <c r="E25" s="127">
        <v>20690.92</v>
      </c>
      <c r="F25" s="81">
        <v>73139.61</v>
      </c>
      <c r="G25" s="81">
        <v>8170.73</v>
      </c>
      <c r="H25" s="103">
        <v>112902.17</v>
      </c>
      <c r="I25" s="69">
        <v>8120.49</v>
      </c>
      <c r="J25" s="48">
        <f t="shared" si="0"/>
        <v>440294.04999999993</v>
      </c>
      <c r="K25" s="6">
        <f>SUM(J24:J25)</f>
        <v>1195631.31</v>
      </c>
      <c r="L25" s="11"/>
      <c r="M25" s="11"/>
      <c r="O25" s="7"/>
      <c r="P25" s="7"/>
      <c r="Q25" s="7"/>
      <c r="R25" s="7"/>
      <c r="S25" s="7"/>
      <c r="T25" s="7"/>
      <c r="U25" s="6"/>
    </row>
    <row r="26" spans="1:21" ht="12.75">
      <c r="A26" s="545">
        <v>36220</v>
      </c>
      <c r="B26" s="49" t="s">
        <v>7</v>
      </c>
      <c r="C26" s="72">
        <v>461717</v>
      </c>
      <c r="D26" s="72">
        <v>27327</v>
      </c>
      <c r="E26" s="72">
        <v>13264</v>
      </c>
      <c r="F26" s="72">
        <v>1219893</v>
      </c>
      <c r="G26" s="72"/>
      <c r="H26" s="96">
        <v>487</v>
      </c>
      <c r="I26" s="50">
        <v>30717</v>
      </c>
      <c r="J26" s="5">
        <f t="shared" si="0"/>
        <v>1753405</v>
      </c>
      <c r="O26" s="7"/>
      <c r="P26" s="7"/>
      <c r="Q26" s="7"/>
      <c r="R26" s="7"/>
      <c r="S26" s="7"/>
      <c r="T26" s="7"/>
      <c r="U26" s="6"/>
    </row>
    <row r="27" spans="1:20" ht="13.5" thickBot="1">
      <c r="A27" s="545"/>
      <c r="B27" s="51" t="s">
        <v>8</v>
      </c>
      <c r="C27" s="73">
        <v>23570</v>
      </c>
      <c r="D27" s="73">
        <v>0</v>
      </c>
      <c r="E27" s="73">
        <v>71</v>
      </c>
      <c r="F27" s="73">
        <v>33497</v>
      </c>
      <c r="G27" s="73"/>
      <c r="H27" s="97">
        <v>16680</v>
      </c>
      <c r="I27" s="52">
        <v>0</v>
      </c>
      <c r="J27" s="5">
        <f t="shared" si="0"/>
        <v>73818</v>
      </c>
      <c r="K27" s="6">
        <f>SUM(J26:J27)</f>
        <v>1827223</v>
      </c>
      <c r="O27" s="7"/>
      <c r="P27" s="7"/>
      <c r="Q27" s="7"/>
      <c r="R27" s="7"/>
      <c r="S27" s="7"/>
      <c r="T27" s="7"/>
    </row>
    <row r="28" spans="1:20" ht="12.75">
      <c r="A28" s="535">
        <v>36586</v>
      </c>
      <c r="B28" s="53" t="s">
        <v>7</v>
      </c>
      <c r="C28" s="74">
        <f>'[1]2000'!C12</f>
        <v>594166.95</v>
      </c>
      <c r="D28" s="74">
        <f>'[1]2000'!D12</f>
        <v>40180.08</v>
      </c>
      <c r="E28" s="74">
        <f>'[1]2000'!E12</f>
        <v>9768.48</v>
      </c>
      <c r="F28" s="74">
        <f>'[1]2000'!F12</f>
        <v>1301953</v>
      </c>
      <c r="G28" s="74"/>
      <c r="H28" s="98">
        <f>'[1]2000'!G12</f>
        <v>27486.57</v>
      </c>
      <c r="I28" s="54">
        <f>'[1]2000'!H12</f>
        <v>11936.67</v>
      </c>
      <c r="J28" s="8">
        <f t="shared" si="0"/>
        <v>1985491.7499999998</v>
      </c>
      <c r="L28" s="11"/>
      <c r="M28" s="11"/>
      <c r="O28" s="7"/>
      <c r="P28" s="7"/>
      <c r="Q28" s="7"/>
      <c r="R28" s="7"/>
      <c r="S28" s="7"/>
      <c r="T28" s="7"/>
    </row>
    <row r="29" spans="1:20" ht="13.5" thickBot="1">
      <c r="A29" s="535"/>
      <c r="B29" s="55" t="s">
        <v>8</v>
      </c>
      <c r="C29" s="75">
        <f>'[1]2000'!C13</f>
        <v>31271.94</v>
      </c>
      <c r="D29" s="75">
        <f>'[1]2000'!D13</f>
        <v>0</v>
      </c>
      <c r="E29" s="75">
        <f>'[1]2000'!E13</f>
        <v>960.73</v>
      </c>
      <c r="F29" s="75">
        <f>'[1]2000'!F13</f>
        <v>154027.83</v>
      </c>
      <c r="G29" s="75"/>
      <c r="H29" s="99">
        <f>'[1]2000'!G13</f>
        <v>60834.43</v>
      </c>
      <c r="I29" s="56">
        <f>'[1]2000'!H13</f>
        <v>0</v>
      </c>
      <c r="J29" s="8">
        <f t="shared" si="0"/>
        <v>247094.93</v>
      </c>
      <c r="K29" s="6">
        <f>SUM(J28:J29)</f>
        <v>2232586.6799999997</v>
      </c>
      <c r="L29" s="11"/>
      <c r="M29" s="11"/>
      <c r="O29" s="7"/>
      <c r="P29" s="7"/>
      <c r="Q29" s="7"/>
      <c r="R29" s="7"/>
      <c r="S29" s="7"/>
      <c r="T29" s="7"/>
    </row>
    <row r="30" spans="1:20" ht="12.75">
      <c r="A30" s="497">
        <f>A28+366</f>
        <v>36952</v>
      </c>
      <c r="B30" s="57" t="s">
        <v>7</v>
      </c>
      <c r="C30" s="76">
        <v>757998.77</v>
      </c>
      <c r="D30" s="76">
        <v>50763.71</v>
      </c>
      <c r="E30" s="76">
        <v>4104.02</v>
      </c>
      <c r="F30" s="76">
        <v>1327843</v>
      </c>
      <c r="G30" s="76"/>
      <c r="H30" s="100">
        <v>37094.29</v>
      </c>
      <c r="I30" s="58">
        <v>18628.4</v>
      </c>
      <c r="J30" s="9">
        <f t="shared" si="0"/>
        <v>2196432.19</v>
      </c>
      <c r="L30" s="11"/>
      <c r="M30" s="11"/>
      <c r="O30" s="7"/>
      <c r="P30" s="7"/>
      <c r="Q30" s="7"/>
      <c r="R30" s="7"/>
      <c r="S30" s="7"/>
      <c r="T30" s="7"/>
    </row>
    <row r="31" spans="1:20" ht="13.5" thickBot="1">
      <c r="A31" s="497"/>
      <c r="B31" s="59" t="s">
        <v>8</v>
      </c>
      <c r="C31" s="77">
        <v>39839.74</v>
      </c>
      <c r="D31" s="92"/>
      <c r="E31" s="77">
        <v>13739.03</v>
      </c>
      <c r="F31" s="77">
        <v>255884</v>
      </c>
      <c r="G31" s="77"/>
      <c r="H31" s="10">
        <v>111500.94</v>
      </c>
      <c r="I31" s="60">
        <v>4940.66</v>
      </c>
      <c r="J31" s="9">
        <f t="shared" si="0"/>
        <v>425904.37</v>
      </c>
      <c r="K31" s="6">
        <f>SUM(J30:J31)</f>
        <v>2622336.56</v>
      </c>
      <c r="L31" s="11"/>
      <c r="M31" s="11"/>
      <c r="O31" s="7"/>
      <c r="P31" s="7"/>
      <c r="Q31" s="7"/>
      <c r="R31" s="7"/>
      <c r="S31" s="7"/>
      <c r="T31" s="7"/>
    </row>
    <row r="32" spans="1:20" ht="12.75">
      <c r="A32" s="534">
        <v>37316</v>
      </c>
      <c r="B32" s="70" t="s">
        <v>7</v>
      </c>
      <c r="C32" s="78">
        <v>498926.09</v>
      </c>
      <c r="D32" s="78">
        <v>19014.1</v>
      </c>
      <c r="E32" s="78">
        <v>0</v>
      </c>
      <c r="F32" s="78">
        <v>1050469</v>
      </c>
      <c r="G32" s="78"/>
      <c r="H32" s="101">
        <v>24158.79</v>
      </c>
      <c r="I32" s="62">
        <v>6535.9</v>
      </c>
      <c r="J32" s="19">
        <f t="shared" si="0"/>
        <v>1599103.88</v>
      </c>
      <c r="L32" s="11"/>
      <c r="M32" s="11"/>
      <c r="O32" s="7"/>
      <c r="P32" s="7"/>
      <c r="Q32" s="7"/>
      <c r="R32" s="7"/>
      <c r="S32" s="7"/>
      <c r="T32" s="7"/>
    </row>
    <row r="33" spans="1:20" ht="13.5" thickBot="1">
      <c r="A33" s="534">
        <v>37316</v>
      </c>
      <c r="B33" s="71" t="s">
        <v>8</v>
      </c>
      <c r="C33" s="79">
        <v>26212.77</v>
      </c>
      <c r="D33" s="79">
        <v>119599.98</v>
      </c>
      <c r="E33" s="79">
        <v>1434.6</v>
      </c>
      <c r="F33" s="79">
        <v>136993</v>
      </c>
      <c r="G33" s="79"/>
      <c r="H33" s="21">
        <v>132908.43</v>
      </c>
      <c r="I33" s="64">
        <v>7168.67</v>
      </c>
      <c r="J33" s="19">
        <f t="shared" si="0"/>
        <v>424317.44999999995</v>
      </c>
      <c r="K33" s="6">
        <f>SUM(J32:J33)</f>
        <v>2023421.3299999998</v>
      </c>
      <c r="L33" s="11"/>
      <c r="M33" s="11"/>
      <c r="O33" s="7"/>
      <c r="P33" s="7"/>
      <c r="Q33" s="7"/>
      <c r="R33" s="7"/>
      <c r="S33" s="7"/>
      <c r="T33" s="7"/>
    </row>
    <row r="34" spans="1:20" ht="12.75">
      <c r="A34" s="519">
        <v>37681</v>
      </c>
      <c r="B34" s="112" t="s">
        <v>7</v>
      </c>
      <c r="C34" s="80">
        <v>162649.42</v>
      </c>
      <c r="D34" s="80">
        <v>28103.29</v>
      </c>
      <c r="E34" s="80">
        <v>0</v>
      </c>
      <c r="F34" s="80">
        <f>2047.42+530666.6</f>
        <v>532714.02</v>
      </c>
      <c r="G34" s="80">
        <v>0</v>
      </c>
      <c r="H34" s="102">
        <v>61809.45</v>
      </c>
      <c r="I34" s="66">
        <v>20371.47</v>
      </c>
      <c r="J34" s="113">
        <f t="shared" si="0"/>
        <v>805647.6499999999</v>
      </c>
      <c r="K34" s="6"/>
      <c r="L34" s="11"/>
      <c r="M34" s="11"/>
      <c r="O34" s="7"/>
      <c r="P34" s="7"/>
      <c r="Q34" s="7"/>
      <c r="R34" s="7"/>
      <c r="S34" s="7"/>
      <c r="T34" s="7"/>
    </row>
    <row r="35" spans="1:20" ht="13.5" thickBot="1">
      <c r="A35" s="520"/>
      <c r="B35" s="114" t="s">
        <v>8</v>
      </c>
      <c r="C35" s="81">
        <v>225734.91</v>
      </c>
      <c r="D35" s="81">
        <v>120224.7</v>
      </c>
      <c r="E35" s="81">
        <v>46535.76</v>
      </c>
      <c r="F35" s="81">
        <v>139551.79</v>
      </c>
      <c r="G35" s="81">
        <v>8091.06</v>
      </c>
      <c r="H35" s="103">
        <v>105102.3</v>
      </c>
      <c r="I35" s="69">
        <v>2340</v>
      </c>
      <c r="J35" s="113">
        <f t="shared" si="0"/>
        <v>647580.5200000001</v>
      </c>
      <c r="K35" s="6">
        <f>SUM(J34:J35)</f>
        <v>1453228.17</v>
      </c>
      <c r="L35" s="11"/>
      <c r="M35" s="11"/>
      <c r="O35" s="7"/>
      <c r="P35" s="7"/>
      <c r="Q35" s="7"/>
      <c r="R35" s="7"/>
      <c r="S35" s="7"/>
      <c r="T35" s="7"/>
    </row>
    <row r="36" spans="1:20" ht="12.75">
      <c r="A36" s="545">
        <v>36251</v>
      </c>
      <c r="B36" s="49" t="s">
        <v>7</v>
      </c>
      <c r="C36" s="72">
        <v>793084</v>
      </c>
      <c r="D36" s="72">
        <v>53351</v>
      </c>
      <c r="E36" s="72">
        <v>16228</v>
      </c>
      <c r="F36" s="72">
        <v>1995489</v>
      </c>
      <c r="G36" s="72"/>
      <c r="H36" s="96">
        <v>0</v>
      </c>
      <c r="I36" s="50">
        <v>35767</v>
      </c>
      <c r="J36" s="5">
        <f t="shared" si="0"/>
        <v>2893919</v>
      </c>
      <c r="L36" s="11"/>
      <c r="M36" s="11"/>
      <c r="O36" s="7"/>
      <c r="P36" s="7"/>
      <c r="Q36" s="7"/>
      <c r="R36" s="7"/>
      <c r="S36" s="7"/>
      <c r="T36" s="7"/>
    </row>
    <row r="37" spans="1:20" ht="13.5" thickBot="1">
      <c r="A37" s="545"/>
      <c r="B37" s="51" t="s">
        <v>8</v>
      </c>
      <c r="C37" s="73">
        <v>41271</v>
      </c>
      <c r="D37" s="73">
        <v>0</v>
      </c>
      <c r="E37" s="73">
        <v>557</v>
      </c>
      <c r="F37" s="73">
        <v>32686</v>
      </c>
      <c r="G37" s="73"/>
      <c r="H37" s="97">
        <v>1610.84</v>
      </c>
      <c r="I37" s="52">
        <v>0</v>
      </c>
      <c r="J37" s="5">
        <f t="shared" si="0"/>
        <v>76124.84</v>
      </c>
      <c r="K37" s="6">
        <f>SUM(J36:J37)</f>
        <v>2970043.84</v>
      </c>
      <c r="O37" s="7"/>
      <c r="P37" s="7"/>
      <c r="Q37" s="7"/>
      <c r="R37" s="7"/>
      <c r="S37" s="7"/>
      <c r="T37" s="7"/>
    </row>
    <row r="38" spans="1:20" ht="12.75">
      <c r="A38" s="535">
        <v>36617</v>
      </c>
      <c r="B38" s="53" t="s">
        <v>7</v>
      </c>
      <c r="C38" s="74">
        <f>'[1]2000'!C14</f>
        <v>799820.35</v>
      </c>
      <c r="D38" s="74">
        <f>'[1]2000'!D14</f>
        <v>32446.43</v>
      </c>
      <c r="E38" s="74">
        <f>'[1]2000'!E14</f>
        <v>16391.94</v>
      </c>
      <c r="F38" s="74">
        <f>'[1]2000'!F14</f>
        <v>1770085</v>
      </c>
      <c r="G38" s="74"/>
      <c r="H38" s="98">
        <f>'[1]2000'!G14</f>
        <v>36315</v>
      </c>
      <c r="I38" s="54">
        <f>'[1]2000'!H14</f>
        <v>15380.12</v>
      </c>
      <c r="J38" s="8">
        <f t="shared" si="0"/>
        <v>2670438.84</v>
      </c>
      <c r="K38" s="6"/>
      <c r="O38" s="7"/>
      <c r="P38" s="7"/>
      <c r="Q38" s="7"/>
      <c r="R38" s="7"/>
      <c r="S38" s="7"/>
      <c r="T38" s="7"/>
    </row>
    <row r="39" spans="1:20" ht="12.75">
      <c r="A39" s="535"/>
      <c r="B39" s="40" t="s">
        <v>8</v>
      </c>
      <c r="C39" s="82">
        <f>'[1]2000'!C15</f>
        <v>42095.81</v>
      </c>
      <c r="D39" s="82">
        <f>'[1]2000'!D15</f>
        <v>0</v>
      </c>
      <c r="E39" s="82">
        <f>'[1]2000'!E15</f>
        <v>2117.6</v>
      </c>
      <c r="F39" s="82">
        <f>'[1]2000'!F15</f>
        <v>139101.71</v>
      </c>
      <c r="G39" s="82"/>
      <c r="H39" s="104">
        <f>'[1]2000'!G15</f>
        <v>44745.16</v>
      </c>
      <c r="I39" s="41">
        <f>'[1]2000'!H15</f>
        <v>0</v>
      </c>
      <c r="J39" s="8">
        <f t="shared" si="0"/>
        <v>228060.28</v>
      </c>
      <c r="K39" s="6">
        <f>SUM(J38:J39)</f>
        <v>2898499.1199999996</v>
      </c>
      <c r="O39" s="7"/>
      <c r="P39" s="7"/>
      <c r="Q39" s="7"/>
      <c r="R39" s="7"/>
      <c r="S39" s="7"/>
      <c r="T39" s="7"/>
    </row>
    <row r="40" spans="1:20" ht="12.75">
      <c r="A40" s="497">
        <f>A38+366</f>
        <v>36983</v>
      </c>
      <c r="B40" s="26" t="s">
        <v>7</v>
      </c>
      <c r="C40" s="83">
        <v>988756.68</v>
      </c>
      <c r="D40" s="83">
        <v>55299.17</v>
      </c>
      <c r="E40" s="83">
        <v>7855.76</v>
      </c>
      <c r="F40" s="83">
        <v>1976921</v>
      </c>
      <c r="G40" s="83"/>
      <c r="H40" s="105">
        <v>50307</v>
      </c>
      <c r="I40" s="27">
        <v>35141.24</v>
      </c>
      <c r="J40" s="9">
        <f t="shared" si="0"/>
        <v>3114280.8500000006</v>
      </c>
      <c r="L40" s="11"/>
      <c r="M40" s="11"/>
      <c r="O40" s="7"/>
      <c r="P40" s="7"/>
      <c r="Q40" s="7"/>
      <c r="R40" s="7"/>
      <c r="S40" s="7"/>
      <c r="T40" s="7"/>
    </row>
    <row r="41" spans="1:20" ht="12.75">
      <c r="A41" s="497"/>
      <c r="B41" s="28" t="s">
        <v>8</v>
      </c>
      <c r="C41" s="84">
        <v>52025.97</v>
      </c>
      <c r="D41" s="84">
        <v>0</v>
      </c>
      <c r="E41" s="84">
        <v>7242.67</v>
      </c>
      <c r="F41" s="84">
        <v>219316.46</v>
      </c>
      <c r="G41" s="84"/>
      <c r="H41" s="20">
        <v>112613.71</v>
      </c>
      <c r="I41" s="29">
        <v>6046.65</v>
      </c>
      <c r="J41" s="9">
        <f t="shared" si="0"/>
        <v>397245.46</v>
      </c>
      <c r="K41" s="6">
        <f>SUM(J40:J41)</f>
        <v>3511526.3100000005</v>
      </c>
      <c r="L41" s="11"/>
      <c r="M41" s="11"/>
      <c r="O41" s="7"/>
      <c r="P41" s="7"/>
      <c r="Q41" s="7"/>
      <c r="R41" s="7"/>
      <c r="S41" s="7"/>
      <c r="T41" s="7"/>
    </row>
    <row r="42" spans="1:20" ht="12.75">
      <c r="A42" s="534">
        <v>37347</v>
      </c>
      <c r="B42" s="30" t="s">
        <v>7</v>
      </c>
      <c r="C42" s="85">
        <v>675477.61</v>
      </c>
      <c r="D42" s="85">
        <v>30473.9</v>
      </c>
      <c r="E42" s="85">
        <v>0</v>
      </c>
      <c r="F42" s="85">
        <v>1579782.57</v>
      </c>
      <c r="G42" s="85">
        <v>0</v>
      </c>
      <c r="H42" s="106">
        <v>107306.02</v>
      </c>
      <c r="I42" s="31">
        <v>16464.7</v>
      </c>
      <c r="J42" s="19">
        <f t="shared" si="0"/>
        <v>2409504.8000000003</v>
      </c>
      <c r="K42" s="6"/>
      <c r="L42" s="11"/>
      <c r="M42" s="11"/>
      <c r="O42" s="7"/>
      <c r="P42" s="7"/>
      <c r="Q42" s="7"/>
      <c r="R42" s="7"/>
      <c r="S42" s="7"/>
      <c r="T42" s="7"/>
    </row>
    <row r="43" spans="1:20" ht="12.75">
      <c r="A43" s="534"/>
      <c r="B43" s="32" t="s">
        <v>8</v>
      </c>
      <c r="C43" s="86">
        <v>35528.69</v>
      </c>
      <c r="D43" s="86">
        <v>122192.15</v>
      </c>
      <c r="E43" s="86">
        <v>32721.23</v>
      </c>
      <c r="F43" s="86">
        <v>142369.27</v>
      </c>
      <c r="G43" s="86">
        <v>17042.95</v>
      </c>
      <c r="H43" s="22">
        <v>141745.75</v>
      </c>
      <c r="I43" s="33">
        <v>9403.03</v>
      </c>
      <c r="J43" s="19">
        <f t="shared" si="0"/>
        <v>501003.07</v>
      </c>
      <c r="K43" s="6">
        <f>SUM(J42:J43)</f>
        <v>2910507.87</v>
      </c>
      <c r="L43" s="11"/>
      <c r="M43" s="11"/>
      <c r="O43" s="7"/>
      <c r="P43" s="7"/>
      <c r="Q43" s="7"/>
      <c r="R43" s="7"/>
      <c r="S43" s="7"/>
      <c r="T43" s="7"/>
    </row>
    <row r="44" spans="1:20" ht="12.75">
      <c r="A44" s="519">
        <v>37712</v>
      </c>
      <c r="B44" s="115" t="s">
        <v>7</v>
      </c>
      <c r="C44" s="116">
        <v>716274</v>
      </c>
      <c r="D44" s="116">
        <v>63143.13</v>
      </c>
      <c r="E44" s="116">
        <v>0</v>
      </c>
      <c r="F44" s="116">
        <f>88772.02+1226209.33</f>
        <v>1314981.35</v>
      </c>
      <c r="G44" s="116">
        <v>0</v>
      </c>
      <c r="H44" s="117">
        <v>16859.76</v>
      </c>
      <c r="I44" s="118">
        <v>15628.04</v>
      </c>
      <c r="J44" s="113">
        <f t="shared" si="0"/>
        <v>2126886.28</v>
      </c>
      <c r="K44" s="6"/>
      <c r="L44" s="11"/>
      <c r="M44" s="11"/>
      <c r="O44" s="7"/>
      <c r="P44" s="7"/>
      <c r="Q44" s="7"/>
      <c r="R44" s="7"/>
      <c r="S44" s="7"/>
      <c r="T44" s="7"/>
    </row>
    <row r="45" spans="1:20" ht="12.75">
      <c r="A45" s="520"/>
      <c r="B45" s="119" t="s">
        <v>8</v>
      </c>
      <c r="C45" s="120">
        <v>173212.37</v>
      </c>
      <c r="D45" s="120">
        <v>97617.9</v>
      </c>
      <c r="E45" s="120">
        <v>63230.66</v>
      </c>
      <c r="F45" s="120">
        <f>87430.11</f>
        <v>87430.11</v>
      </c>
      <c r="G45" s="120">
        <v>12179.18</v>
      </c>
      <c r="H45" s="121">
        <v>109319.91</v>
      </c>
      <c r="I45" s="67">
        <v>11412.84</v>
      </c>
      <c r="J45" s="113">
        <f t="shared" si="0"/>
        <v>554402.97</v>
      </c>
      <c r="K45" s="6">
        <f>SUM(J44:J45)</f>
        <v>2681289.25</v>
      </c>
      <c r="L45" s="11"/>
      <c r="M45" s="11"/>
      <c r="O45" s="7"/>
      <c r="P45" s="7"/>
      <c r="Q45" s="7"/>
      <c r="R45" s="7"/>
      <c r="S45" s="7"/>
      <c r="T45" s="7"/>
    </row>
    <row r="46" spans="1:20" ht="12.75">
      <c r="A46" s="545">
        <v>36281</v>
      </c>
      <c r="B46" s="34" t="s">
        <v>7</v>
      </c>
      <c r="C46" s="87">
        <v>1107238</v>
      </c>
      <c r="D46" s="87">
        <v>71216</v>
      </c>
      <c r="E46" s="87">
        <v>30350</v>
      </c>
      <c r="F46" s="87">
        <v>3321943</v>
      </c>
      <c r="G46" s="87"/>
      <c r="H46" s="107">
        <v>0</v>
      </c>
      <c r="I46" s="35">
        <v>57698</v>
      </c>
      <c r="J46" s="5">
        <f t="shared" si="0"/>
        <v>4588445</v>
      </c>
      <c r="O46" s="7"/>
      <c r="P46" s="7"/>
      <c r="Q46" s="7"/>
      <c r="R46" s="7"/>
      <c r="S46" s="7"/>
      <c r="T46" s="7"/>
    </row>
    <row r="47" spans="1:20" ht="12.75">
      <c r="A47" s="545"/>
      <c r="B47" s="36" t="s">
        <v>8</v>
      </c>
      <c r="C47" s="88">
        <v>58022</v>
      </c>
      <c r="D47" s="88">
        <v>0</v>
      </c>
      <c r="E47" s="88">
        <v>2337</v>
      </c>
      <c r="F47" s="88">
        <v>41872</v>
      </c>
      <c r="G47" s="88"/>
      <c r="H47" s="108">
        <v>1655</v>
      </c>
      <c r="I47" s="37">
        <v>0</v>
      </c>
      <c r="J47" s="5">
        <f t="shared" si="0"/>
        <v>103886</v>
      </c>
      <c r="K47" s="6">
        <f>SUM(J46:J47)</f>
        <v>4692331</v>
      </c>
      <c r="O47" s="7"/>
      <c r="P47" s="7"/>
      <c r="Q47" s="7"/>
      <c r="R47" s="7"/>
      <c r="S47" s="7"/>
      <c r="T47" s="7"/>
    </row>
    <row r="48" spans="1:20" ht="12.75">
      <c r="A48" s="535">
        <v>36647</v>
      </c>
      <c r="B48" s="38" t="s">
        <v>7</v>
      </c>
      <c r="C48" s="89">
        <f>'[1]2000'!C16</f>
        <v>1239823.88</v>
      </c>
      <c r="D48" s="89">
        <f>'[1]2000'!D16</f>
        <v>78655</v>
      </c>
      <c r="E48" s="89">
        <f>'[1]2000'!E16</f>
        <v>38143</v>
      </c>
      <c r="F48" s="89">
        <f>'[1]2000'!F16</f>
        <v>3637775</v>
      </c>
      <c r="G48" s="89"/>
      <c r="H48" s="109">
        <f>'[1]2000'!G16</f>
        <v>46805.72</v>
      </c>
      <c r="I48" s="39">
        <f>'[1]2000'!H16</f>
        <v>56977.41</v>
      </c>
      <c r="J48" s="8">
        <f t="shared" si="0"/>
        <v>5098180.01</v>
      </c>
      <c r="O48" s="7"/>
      <c r="P48" s="7"/>
      <c r="Q48" s="7"/>
      <c r="R48" s="7"/>
      <c r="S48" s="7"/>
      <c r="T48" s="7"/>
    </row>
    <row r="49" spans="1:20" ht="12.75">
      <c r="A49" s="535"/>
      <c r="B49" s="40" t="s">
        <v>8</v>
      </c>
      <c r="C49" s="82">
        <f>'[1]2000'!C17</f>
        <v>65253.89</v>
      </c>
      <c r="D49" s="82">
        <f>'[1]2000'!D17</f>
        <v>0</v>
      </c>
      <c r="E49" s="82">
        <f>'[1]2000'!E17</f>
        <v>2531.07</v>
      </c>
      <c r="F49" s="82">
        <f>'[1]2000'!F17</f>
        <v>118290.29</v>
      </c>
      <c r="G49" s="82"/>
      <c r="H49" s="104">
        <f>'[1]2000'!G17</f>
        <v>34308.25</v>
      </c>
      <c r="I49" s="41">
        <f>'[1]2000'!H17</f>
        <v>0</v>
      </c>
      <c r="J49" s="8">
        <f t="shared" si="0"/>
        <v>220383.5</v>
      </c>
      <c r="K49" s="6">
        <f>SUM(J48:J49)</f>
        <v>5318563.51</v>
      </c>
      <c r="O49" s="7"/>
      <c r="P49" s="7"/>
      <c r="Q49" s="7"/>
      <c r="R49" s="7"/>
      <c r="S49" s="7"/>
      <c r="T49" s="7"/>
    </row>
    <row r="50" spans="1:20" ht="12.75">
      <c r="A50" s="497">
        <f>A48+366</f>
        <v>37013</v>
      </c>
      <c r="B50" s="26" t="s">
        <v>7</v>
      </c>
      <c r="C50" s="83">
        <v>1267051.32</v>
      </c>
      <c r="D50" s="83">
        <v>44512.04</v>
      </c>
      <c r="E50" s="83">
        <v>8306.49</v>
      </c>
      <c r="F50" s="83">
        <v>3688497</v>
      </c>
      <c r="G50" s="83"/>
      <c r="H50" s="105">
        <v>53781</v>
      </c>
      <c r="I50" s="27">
        <v>30810.16</v>
      </c>
      <c r="J50" s="9">
        <f t="shared" si="0"/>
        <v>5092958.01</v>
      </c>
      <c r="O50" s="7"/>
      <c r="P50" s="7"/>
      <c r="Q50" s="7"/>
      <c r="R50" s="7"/>
      <c r="S50" s="7"/>
      <c r="T50" s="7"/>
    </row>
    <row r="51" spans="1:20" ht="12.75">
      <c r="A51" s="497"/>
      <c r="B51" s="28" t="s">
        <v>8</v>
      </c>
      <c r="C51" s="84">
        <v>66629.7</v>
      </c>
      <c r="D51" s="84">
        <v>0</v>
      </c>
      <c r="E51" s="84">
        <v>5026.15</v>
      </c>
      <c r="F51" s="84">
        <v>125337</v>
      </c>
      <c r="G51" s="84"/>
      <c r="H51" s="20">
        <v>61387.23</v>
      </c>
      <c r="I51" s="29">
        <v>2637.69</v>
      </c>
      <c r="J51" s="9">
        <f t="shared" si="0"/>
        <v>261017.77</v>
      </c>
      <c r="K51" s="6">
        <f>SUM(J50:J51)</f>
        <v>5353975.779999999</v>
      </c>
      <c r="O51" s="7"/>
      <c r="P51" s="7"/>
      <c r="Q51" s="7"/>
      <c r="R51" s="7"/>
      <c r="S51" s="7"/>
      <c r="T51" s="7"/>
    </row>
    <row r="52" spans="1:20" ht="12.75">
      <c r="A52" s="534">
        <v>37377</v>
      </c>
      <c r="B52" s="30" t="s">
        <v>7</v>
      </c>
      <c r="C52" s="85">
        <v>830488.73</v>
      </c>
      <c r="D52" s="85">
        <v>53152</v>
      </c>
      <c r="E52" s="85">
        <v>0</v>
      </c>
      <c r="F52" s="85">
        <v>2668015.64</v>
      </c>
      <c r="G52" s="85"/>
      <c r="H52" s="106">
        <v>322288.02</v>
      </c>
      <c r="I52" s="31">
        <v>8781.36</v>
      </c>
      <c r="J52" s="19">
        <f t="shared" si="0"/>
        <v>3882725.75</v>
      </c>
      <c r="K52" s="6"/>
      <c r="O52" s="7"/>
      <c r="P52" s="7"/>
      <c r="Q52" s="7"/>
      <c r="R52" s="7"/>
      <c r="S52" s="7"/>
      <c r="T52" s="7"/>
    </row>
    <row r="53" spans="1:20" ht="12.75">
      <c r="A53" s="534"/>
      <c r="B53" s="32" t="s">
        <v>8</v>
      </c>
      <c r="C53" s="86">
        <v>43680.51</v>
      </c>
      <c r="D53" s="86">
        <v>77428.3</v>
      </c>
      <c r="E53" s="86">
        <v>23043.11</v>
      </c>
      <c r="F53" s="86">
        <v>95277.32</v>
      </c>
      <c r="G53" s="86">
        <v>2674.04</v>
      </c>
      <c r="H53" s="22">
        <v>62049.54</v>
      </c>
      <c r="I53" s="33">
        <v>5093.69</v>
      </c>
      <c r="J53" s="19">
        <f t="shared" si="0"/>
        <v>309246.51</v>
      </c>
      <c r="K53" s="6">
        <f>SUM(J52:J53)</f>
        <v>4191972.26</v>
      </c>
      <c r="O53" s="7"/>
      <c r="P53" s="7"/>
      <c r="Q53" s="7"/>
      <c r="R53" s="7"/>
      <c r="S53" s="7"/>
      <c r="T53" s="7"/>
    </row>
    <row r="54" spans="1:20" ht="12.75">
      <c r="A54" s="519">
        <v>37742</v>
      </c>
      <c r="B54" s="115" t="s">
        <v>7</v>
      </c>
      <c r="C54" s="116">
        <v>977252.86</v>
      </c>
      <c r="D54" s="116">
        <v>116573</v>
      </c>
      <c r="E54" s="116">
        <v>0</v>
      </c>
      <c r="F54" s="116">
        <f>35224.31+2775892.22</f>
        <v>2811116.5300000003</v>
      </c>
      <c r="G54" s="116"/>
      <c r="H54" s="117">
        <v>34053</v>
      </c>
      <c r="I54" s="118">
        <v>45604.19</v>
      </c>
      <c r="J54" s="113">
        <f t="shared" si="0"/>
        <v>3984599.58</v>
      </c>
      <c r="K54" s="6"/>
      <c r="O54" s="7"/>
      <c r="P54" s="7"/>
      <c r="Q54" s="7"/>
      <c r="R54" s="7"/>
      <c r="S54" s="7"/>
      <c r="T54" s="7"/>
    </row>
    <row r="55" spans="1:20" ht="12.75">
      <c r="A55" s="520"/>
      <c r="B55" s="119" t="s">
        <v>8</v>
      </c>
      <c r="C55" s="120">
        <v>120038.14</v>
      </c>
      <c r="D55" s="120">
        <v>95349.46</v>
      </c>
      <c r="E55" s="120">
        <v>51516</v>
      </c>
      <c r="F55" s="120">
        <v>133132.59</v>
      </c>
      <c r="G55" s="120">
        <v>7833.89</v>
      </c>
      <c r="H55" s="121">
        <v>140322.57</v>
      </c>
      <c r="I55" s="67">
        <v>15453.58</v>
      </c>
      <c r="J55" s="113">
        <f t="shared" si="0"/>
        <v>563646.2299999999</v>
      </c>
      <c r="K55" s="6">
        <f>SUM(J54:J55)</f>
        <v>4548245.81</v>
      </c>
      <c r="O55" s="7"/>
      <c r="P55" s="7"/>
      <c r="Q55" s="7"/>
      <c r="R55" s="7"/>
      <c r="S55" s="7"/>
      <c r="T55" s="7"/>
    </row>
    <row r="56" spans="1:20" ht="12.75">
      <c r="A56" s="25">
        <v>36312</v>
      </c>
      <c r="B56" s="34" t="s">
        <v>7</v>
      </c>
      <c r="C56" s="87">
        <v>1179482.47</v>
      </c>
      <c r="D56" s="87">
        <v>77587.13</v>
      </c>
      <c r="E56" s="87">
        <v>40446.03</v>
      </c>
      <c r="F56" s="87">
        <v>4265226</v>
      </c>
      <c r="G56" s="87"/>
      <c r="H56" s="107">
        <v>4680.1</v>
      </c>
      <c r="I56" s="35">
        <v>87665.04</v>
      </c>
      <c r="J56" s="5">
        <f t="shared" si="0"/>
        <v>5655086.77</v>
      </c>
      <c r="O56" s="7"/>
      <c r="P56" s="7"/>
      <c r="Q56" s="7"/>
      <c r="R56" s="7"/>
      <c r="S56" s="7"/>
      <c r="T56" s="7"/>
    </row>
    <row r="57" spans="1:20" ht="12.75">
      <c r="A57" s="25"/>
      <c r="B57" s="36" t="s">
        <v>8</v>
      </c>
      <c r="C57" s="88">
        <v>61825.84</v>
      </c>
      <c r="D57" s="88">
        <v>0</v>
      </c>
      <c r="E57" s="88">
        <v>380.8</v>
      </c>
      <c r="F57" s="88">
        <v>57516.32</v>
      </c>
      <c r="G57" s="88"/>
      <c r="H57" s="108">
        <v>4313.85</v>
      </c>
      <c r="I57" s="37">
        <v>0</v>
      </c>
      <c r="J57" s="5">
        <f t="shared" si="0"/>
        <v>124036.81</v>
      </c>
      <c r="K57" s="6">
        <f>SUM(J56:J57)</f>
        <v>5779123.579999999</v>
      </c>
      <c r="O57" s="7"/>
      <c r="P57" s="7"/>
      <c r="Q57" s="7"/>
      <c r="R57" s="7"/>
      <c r="S57" s="7"/>
      <c r="T57" s="7"/>
    </row>
    <row r="58" spans="1:20" ht="12.75">
      <c r="A58" s="529">
        <v>36678</v>
      </c>
      <c r="B58" s="38" t="s">
        <v>7</v>
      </c>
      <c r="C58" s="89">
        <f>'[1]2000'!C18</f>
        <v>1440905.4</v>
      </c>
      <c r="D58" s="89">
        <f>'[1]2000'!D18</f>
        <v>83929.72</v>
      </c>
      <c r="E58" s="89">
        <f>'[1]2000'!E18</f>
        <v>27438.75</v>
      </c>
      <c r="F58" s="89">
        <f>'[1]2000'!F18</f>
        <v>4129573</v>
      </c>
      <c r="G58" s="89"/>
      <c r="H58" s="109">
        <f>'[1]2000'!G18</f>
        <v>107344.94</v>
      </c>
      <c r="I58" s="39">
        <f>'[1]2000'!H18</f>
        <v>77324.54</v>
      </c>
      <c r="J58" s="8">
        <f t="shared" si="0"/>
        <v>5866516.350000001</v>
      </c>
      <c r="O58" s="12"/>
      <c r="P58" s="12"/>
      <c r="Q58" s="12"/>
      <c r="R58" s="12"/>
      <c r="S58" s="12"/>
      <c r="T58" s="12"/>
    </row>
    <row r="59" spans="1:11" ht="12.75">
      <c r="A59" s="530"/>
      <c r="B59" s="40" t="s">
        <v>8</v>
      </c>
      <c r="C59" s="82">
        <f>'[1]2000'!C19</f>
        <v>75837.13</v>
      </c>
      <c r="D59" s="82">
        <f>'[1]2000'!D19</f>
        <v>0</v>
      </c>
      <c r="E59" s="82">
        <f>'[1]2000'!E19</f>
        <v>4172.15</v>
      </c>
      <c r="F59" s="82">
        <f>'[1]2000'!F19</f>
        <v>124869.51</v>
      </c>
      <c r="G59" s="82"/>
      <c r="H59" s="104">
        <f>'[1]2000'!G19</f>
        <v>11212.38</v>
      </c>
      <c r="I59" s="41">
        <f>'[1]2000'!H19</f>
        <v>898.61</v>
      </c>
      <c r="J59" s="8">
        <f t="shared" si="0"/>
        <v>216989.77999999997</v>
      </c>
      <c r="K59" s="6">
        <f>SUM(J58:J59)</f>
        <v>6083506.130000001</v>
      </c>
    </row>
    <row r="60" spans="1:10" ht="12.75">
      <c r="A60" s="497">
        <f>A58+366</f>
        <v>37044</v>
      </c>
      <c r="B60" s="26" t="s">
        <v>7</v>
      </c>
      <c r="C60" s="83">
        <v>1502448.3</v>
      </c>
      <c r="D60" s="83">
        <v>49750.97</v>
      </c>
      <c r="E60" s="83">
        <v>8306.49</v>
      </c>
      <c r="F60" s="83">
        <v>3866141</v>
      </c>
      <c r="G60" s="83"/>
      <c r="H60" s="105">
        <v>8817.89</v>
      </c>
      <c r="I60" s="27">
        <v>56925</v>
      </c>
      <c r="J60" s="9">
        <f t="shared" si="0"/>
        <v>5492389.649999999</v>
      </c>
    </row>
    <row r="61" spans="1:11" ht="12.75">
      <c r="A61" s="497"/>
      <c r="B61" s="28" t="s">
        <v>8</v>
      </c>
      <c r="C61" s="84">
        <v>79039.86</v>
      </c>
      <c r="D61" s="84">
        <v>0</v>
      </c>
      <c r="E61" s="84">
        <v>5026.15</v>
      </c>
      <c r="F61" s="84">
        <v>176216</v>
      </c>
      <c r="G61" s="84"/>
      <c r="H61" s="20">
        <v>97687.42</v>
      </c>
      <c r="I61" s="29">
        <v>10922.84</v>
      </c>
      <c r="J61" s="9">
        <f t="shared" si="0"/>
        <v>368892.27</v>
      </c>
      <c r="K61" s="6">
        <f>SUM(J60:J61)</f>
        <v>5861281.92</v>
      </c>
    </row>
    <row r="62" spans="1:11" ht="12.75">
      <c r="A62" s="534">
        <v>37408</v>
      </c>
      <c r="B62" s="30" t="s">
        <v>7</v>
      </c>
      <c r="C62" s="85">
        <v>929327.95</v>
      </c>
      <c r="D62" s="85">
        <v>55745.49</v>
      </c>
      <c r="E62" s="85">
        <v>0</v>
      </c>
      <c r="F62" s="85">
        <v>2861824</v>
      </c>
      <c r="G62" s="85"/>
      <c r="H62" s="106">
        <v>189831</v>
      </c>
      <c r="I62" s="31">
        <v>22917.17</v>
      </c>
      <c r="J62" s="19">
        <f t="shared" si="0"/>
        <v>4059645.61</v>
      </c>
      <c r="K62" s="6"/>
    </row>
    <row r="63" spans="1:11" ht="12.75">
      <c r="A63" s="534"/>
      <c r="B63" s="32" t="s">
        <v>8</v>
      </c>
      <c r="C63" s="86">
        <v>48912</v>
      </c>
      <c r="D63" s="86">
        <v>82135.43</v>
      </c>
      <c r="E63" s="86">
        <v>18992.68</v>
      </c>
      <c r="F63" s="86">
        <v>109573</v>
      </c>
      <c r="G63" s="86">
        <v>2183.23</v>
      </c>
      <c r="H63" s="22">
        <v>113917.05</v>
      </c>
      <c r="I63" s="33">
        <v>20976.71</v>
      </c>
      <c r="J63" s="19">
        <f t="shared" si="0"/>
        <v>396690.10000000003</v>
      </c>
      <c r="K63" s="6">
        <f>SUM(J62:J63)</f>
        <v>4456335.71</v>
      </c>
    </row>
    <row r="64" spans="1:11" ht="12.75">
      <c r="A64" s="519">
        <v>37773</v>
      </c>
      <c r="B64" s="115" t="s">
        <v>7</v>
      </c>
      <c r="C64" s="116">
        <v>1061494.91</v>
      </c>
      <c r="D64" s="116">
        <v>122827.99</v>
      </c>
      <c r="E64" s="116">
        <v>0</v>
      </c>
      <c r="F64" s="116">
        <f>195622.44+3018243.33</f>
        <v>3213865.77</v>
      </c>
      <c r="G64" s="116">
        <v>0</v>
      </c>
      <c r="H64" s="117">
        <v>34090.51</v>
      </c>
      <c r="I64" s="118">
        <v>37056.07</v>
      </c>
      <c r="J64" s="113">
        <f t="shared" si="0"/>
        <v>4469335.25</v>
      </c>
      <c r="K64" s="6"/>
    </row>
    <row r="65" spans="1:11" ht="12.75">
      <c r="A65" s="520"/>
      <c r="B65" s="119" t="s">
        <v>8</v>
      </c>
      <c r="C65" s="120">
        <v>126857.17</v>
      </c>
      <c r="D65" s="120">
        <v>95875.79</v>
      </c>
      <c r="E65" s="120">
        <v>55384.7</v>
      </c>
      <c r="F65" s="120">
        <f>100465.64</f>
        <v>100465.64</v>
      </c>
      <c r="G65" s="120">
        <v>2587.8</v>
      </c>
      <c r="H65" s="121">
        <v>134017.94</v>
      </c>
      <c r="I65" s="67">
        <v>21031.15</v>
      </c>
      <c r="J65" s="113">
        <f t="shared" si="0"/>
        <v>536220.19</v>
      </c>
      <c r="K65" s="6">
        <f>SUM(J64:J65)</f>
        <v>5005555.4399999995</v>
      </c>
    </row>
    <row r="66" spans="1:10" ht="12.75">
      <c r="A66" s="504">
        <v>36342</v>
      </c>
      <c r="B66" s="34" t="s">
        <v>7</v>
      </c>
      <c r="C66" s="87">
        <v>1478322</v>
      </c>
      <c r="D66" s="87">
        <v>90153.36</v>
      </c>
      <c r="E66" s="87">
        <v>33433</v>
      </c>
      <c r="F66" s="87">
        <v>4191243</v>
      </c>
      <c r="G66" s="87"/>
      <c r="H66" s="107">
        <v>694</v>
      </c>
      <c r="I66" s="35">
        <v>113387</v>
      </c>
      <c r="J66" s="5">
        <f t="shared" si="0"/>
        <v>5907232.36</v>
      </c>
    </row>
    <row r="67" spans="1:11" ht="12.75">
      <c r="A67" s="505"/>
      <c r="B67" s="36" t="s">
        <v>8</v>
      </c>
      <c r="C67" s="88">
        <v>77806</v>
      </c>
      <c r="D67" s="88">
        <v>0</v>
      </c>
      <c r="E67" s="88">
        <v>419.98</v>
      </c>
      <c r="F67" s="88">
        <v>87454.51</v>
      </c>
      <c r="G67" s="88"/>
      <c r="H67" s="108">
        <v>6638</v>
      </c>
      <c r="I67" s="37">
        <v>0</v>
      </c>
      <c r="J67" s="5">
        <f t="shared" si="0"/>
        <v>172318.49</v>
      </c>
      <c r="K67" s="6">
        <f>SUM(J66:J67)</f>
        <v>6079550.850000001</v>
      </c>
    </row>
    <row r="68" spans="1:10" ht="12.75">
      <c r="A68" s="529">
        <v>36708</v>
      </c>
      <c r="B68" s="38" t="s">
        <v>7</v>
      </c>
      <c r="C68" s="89">
        <f>'[1]2000'!C20</f>
        <v>1657613.35</v>
      </c>
      <c r="D68" s="89">
        <f>'[1]2000'!D20</f>
        <v>98499.76</v>
      </c>
      <c r="E68" s="89">
        <f>'[1]2000'!E20</f>
        <v>33063.02</v>
      </c>
      <c r="F68" s="89">
        <f>'[1]2000'!F20</f>
        <v>4372399</v>
      </c>
      <c r="G68" s="89"/>
      <c r="H68" s="109">
        <f>'[1]2000'!G20</f>
        <v>115428.88</v>
      </c>
      <c r="I68" s="39">
        <f>'[1]2000'!H20</f>
        <v>101702.85</v>
      </c>
      <c r="J68" s="8">
        <f t="shared" si="0"/>
        <v>6378706.859999999</v>
      </c>
    </row>
    <row r="69" spans="1:11" ht="12.75">
      <c r="A69" s="530"/>
      <c r="B69" s="40" t="s">
        <v>8</v>
      </c>
      <c r="C69" s="82">
        <f>'[1]2000'!C21</f>
        <v>87242.81</v>
      </c>
      <c r="D69" s="82">
        <f>'[1]2000'!D21</f>
        <v>0</v>
      </c>
      <c r="E69" s="82">
        <f>'[1]2000'!E21</f>
        <v>7217.22</v>
      </c>
      <c r="F69" s="82">
        <f>'[1]2000'!F21</f>
        <v>149284.51</v>
      </c>
      <c r="G69" s="82"/>
      <c r="H69" s="104">
        <f>'[1]2000'!G21</f>
        <v>51550.41</v>
      </c>
      <c r="I69" s="41">
        <f>'[1]2000'!H21</f>
        <v>929.96</v>
      </c>
      <c r="J69" s="8">
        <f t="shared" si="0"/>
        <v>296224.91000000003</v>
      </c>
      <c r="K69" s="6">
        <f>SUM(J68:J69)</f>
        <v>6674931.77</v>
      </c>
    </row>
    <row r="70" spans="1:10" ht="12.75">
      <c r="A70" s="497">
        <f>A68+366</f>
        <v>37074</v>
      </c>
      <c r="B70" s="26" t="s">
        <v>7</v>
      </c>
      <c r="C70" s="83">
        <v>1750027.64</v>
      </c>
      <c r="D70" s="83">
        <v>95045.42</v>
      </c>
      <c r="E70" s="83">
        <v>17478.32</v>
      </c>
      <c r="F70" s="83">
        <v>5046923.06</v>
      </c>
      <c r="G70" s="83"/>
      <c r="H70" s="105">
        <v>6728.5</v>
      </c>
      <c r="I70" s="27">
        <v>57664.02</v>
      </c>
      <c r="J70" s="9">
        <f t="shared" si="0"/>
        <v>6973866.959999999</v>
      </c>
    </row>
    <row r="71" spans="1:11" ht="12.75">
      <c r="A71" s="497"/>
      <c r="B71" s="28" t="s">
        <v>8</v>
      </c>
      <c r="C71" s="84">
        <v>92106.72</v>
      </c>
      <c r="D71" s="93"/>
      <c r="E71" s="84">
        <v>8720.11</v>
      </c>
      <c r="F71" s="84">
        <v>232070</v>
      </c>
      <c r="G71" s="84"/>
      <c r="H71" s="20">
        <v>148245.12</v>
      </c>
      <c r="I71" s="29">
        <v>10257.37</v>
      </c>
      <c r="J71" s="9">
        <f t="shared" si="0"/>
        <v>491399.32</v>
      </c>
      <c r="K71" s="6">
        <f>SUM(J70:J71)</f>
        <v>7465266.279999999</v>
      </c>
    </row>
    <row r="72" spans="1:11" ht="12.75">
      <c r="A72" s="534">
        <v>37438</v>
      </c>
      <c r="B72" s="30" t="s">
        <v>7</v>
      </c>
      <c r="C72" s="85">
        <v>1061498.75</v>
      </c>
      <c r="D72" s="85">
        <v>77305.33</v>
      </c>
      <c r="E72" s="85">
        <v>0</v>
      </c>
      <c r="F72" s="85">
        <v>4439500.09</v>
      </c>
      <c r="G72" s="85"/>
      <c r="H72" s="106">
        <v>122972.5</v>
      </c>
      <c r="I72" s="31">
        <v>25916.38</v>
      </c>
      <c r="J72" s="19">
        <f t="shared" si="0"/>
        <v>5727193.05</v>
      </c>
      <c r="K72" s="6"/>
    </row>
    <row r="73" spans="1:11" ht="12.75">
      <c r="A73" s="534"/>
      <c r="B73" s="32" t="s">
        <v>8</v>
      </c>
      <c r="C73" s="86">
        <v>55868.36</v>
      </c>
      <c r="D73" s="86">
        <v>95175.5</v>
      </c>
      <c r="E73" s="86">
        <v>24840.5</v>
      </c>
      <c r="F73" s="86">
        <v>144801.69</v>
      </c>
      <c r="G73" s="86">
        <v>3199.06</v>
      </c>
      <c r="H73" s="22">
        <v>158109.33</v>
      </c>
      <c r="I73" s="33">
        <v>19798.47</v>
      </c>
      <c r="J73" s="19">
        <f t="shared" si="0"/>
        <v>501792.9099999999</v>
      </c>
      <c r="K73" s="6">
        <f>SUM(J72:J73)</f>
        <v>6228985.96</v>
      </c>
    </row>
    <row r="74" spans="1:11" ht="12.75">
      <c r="A74" s="519">
        <v>37803</v>
      </c>
      <c r="B74" s="115" t="s">
        <v>7</v>
      </c>
      <c r="C74" s="116">
        <v>1193203.76</v>
      </c>
      <c r="D74" s="116">
        <v>178264.97</v>
      </c>
      <c r="E74" s="116"/>
      <c r="F74" s="116">
        <f>234049.36+4142764.42</f>
        <v>4376813.78</v>
      </c>
      <c r="G74" s="116"/>
      <c r="H74" s="117">
        <v>28187.5</v>
      </c>
      <c r="I74" s="118">
        <v>39975.81</v>
      </c>
      <c r="J74" s="113">
        <f t="shared" si="0"/>
        <v>5816445.819999999</v>
      </c>
      <c r="K74" s="6"/>
    </row>
    <row r="75" spans="1:11" ht="12.75">
      <c r="A75" s="520"/>
      <c r="B75" s="119" t="s">
        <v>8</v>
      </c>
      <c r="C75" s="120">
        <v>183397</v>
      </c>
      <c r="D75" s="120">
        <v>152480.5</v>
      </c>
      <c r="E75" s="120">
        <v>71450.37</v>
      </c>
      <c r="F75" s="120">
        <v>177284.87</v>
      </c>
      <c r="G75" s="120">
        <v>11677.23</v>
      </c>
      <c r="H75" s="121">
        <v>206862.48</v>
      </c>
      <c r="I75" s="67">
        <v>28353.47</v>
      </c>
      <c r="J75" s="113">
        <f t="shared" si="0"/>
        <v>831505.9199999999</v>
      </c>
      <c r="K75" s="6">
        <f>SUM(J74:J75)</f>
        <v>6647951.739999999</v>
      </c>
    </row>
    <row r="76" spans="1:10" ht="12.75">
      <c r="A76" s="504">
        <v>36373</v>
      </c>
      <c r="B76" s="34" t="s">
        <v>7</v>
      </c>
      <c r="C76" s="87">
        <v>1425252.19</v>
      </c>
      <c r="D76" s="87">
        <v>102595.25</v>
      </c>
      <c r="E76" s="87">
        <v>16633</v>
      </c>
      <c r="F76" s="87">
        <v>4259044</v>
      </c>
      <c r="G76" s="87"/>
      <c r="H76" s="107">
        <v>2479.41</v>
      </c>
      <c r="I76" s="35">
        <v>107812.48</v>
      </c>
      <c r="J76" s="5">
        <f t="shared" si="0"/>
        <v>5913816.33</v>
      </c>
    </row>
    <row r="77" spans="1:11" ht="12.75">
      <c r="A77" s="505"/>
      <c r="B77" s="36" t="s">
        <v>8</v>
      </c>
      <c r="C77" s="88">
        <v>74734.34</v>
      </c>
      <c r="D77" s="88">
        <v>0</v>
      </c>
      <c r="E77" s="88">
        <v>31.94</v>
      </c>
      <c r="F77" s="88">
        <v>69149.05</v>
      </c>
      <c r="G77" s="88"/>
      <c r="H77" s="108">
        <v>-477.03</v>
      </c>
      <c r="I77" s="37">
        <v>0</v>
      </c>
      <c r="J77" s="5">
        <f t="shared" si="0"/>
        <v>143438.30000000002</v>
      </c>
      <c r="K77" s="6">
        <f>SUM(J76:J77)</f>
        <v>6057254.63</v>
      </c>
    </row>
    <row r="78" spans="1:10" ht="12.75">
      <c r="A78" s="529">
        <v>36739</v>
      </c>
      <c r="B78" s="38" t="s">
        <v>7</v>
      </c>
      <c r="C78" s="89">
        <f>'[1]2000'!C22</f>
        <v>1616944.16</v>
      </c>
      <c r="D78" s="89">
        <f>'[1]2000'!D22</f>
        <v>82295.62</v>
      </c>
      <c r="E78" s="89">
        <f>'[1]2000'!E22</f>
        <v>18537.59</v>
      </c>
      <c r="F78" s="89">
        <f>'[1]2000'!F22</f>
        <v>4937309</v>
      </c>
      <c r="G78" s="89"/>
      <c r="H78" s="109">
        <f>'[1]2000'!G22</f>
        <v>143358.16</v>
      </c>
      <c r="I78" s="39">
        <f>'[1]2000'!H22</f>
        <v>80023</v>
      </c>
      <c r="J78" s="8">
        <f t="shared" si="0"/>
        <v>6878467.53</v>
      </c>
    </row>
    <row r="79" spans="1:11" ht="12.75">
      <c r="A79" s="530"/>
      <c r="B79" s="40" t="s">
        <v>8</v>
      </c>
      <c r="C79" s="82">
        <f>'[1]2000'!C23</f>
        <v>85102.32</v>
      </c>
      <c r="D79" s="82">
        <f>'[1]2000'!D23</f>
        <v>0</v>
      </c>
      <c r="E79" s="82">
        <f>'[1]2000'!E23</f>
        <v>4668.3</v>
      </c>
      <c r="F79" s="82">
        <f>'[1]2000'!F23</f>
        <v>95790.47</v>
      </c>
      <c r="G79" s="82"/>
      <c r="H79" s="104">
        <f>'[1]2000'!G23</f>
        <v>51127.47</v>
      </c>
      <c r="I79" s="41">
        <f>'[1]2000'!H23</f>
        <v>39.99</v>
      </c>
      <c r="J79" s="8">
        <f t="shared" si="0"/>
        <v>236728.55000000002</v>
      </c>
      <c r="K79" s="6">
        <f>SUM(J78:J79)</f>
        <v>7115196.08</v>
      </c>
    </row>
    <row r="80" spans="1:10" ht="12.75">
      <c r="A80" s="497">
        <f>A78+366</f>
        <v>37105</v>
      </c>
      <c r="B80" s="26" t="s">
        <v>7</v>
      </c>
      <c r="C80" s="83">
        <v>1730962.14</v>
      </c>
      <c r="D80" s="83">
        <v>70400.23</v>
      </c>
      <c r="E80" s="83">
        <v>7715</v>
      </c>
      <c r="F80" s="83">
        <v>6174365</v>
      </c>
      <c r="G80" s="83"/>
      <c r="H80" s="105">
        <v>16176.21</v>
      </c>
      <c r="I80" s="27">
        <v>90039.71</v>
      </c>
      <c r="J80" s="9">
        <f t="shared" si="0"/>
        <v>8089658.29</v>
      </c>
    </row>
    <row r="81" spans="1:11" ht="12.75">
      <c r="A81" s="497"/>
      <c r="B81" s="28" t="s">
        <v>8</v>
      </c>
      <c r="C81" s="84">
        <v>91103.27</v>
      </c>
      <c r="D81" s="84">
        <v>33244.03</v>
      </c>
      <c r="E81" s="84">
        <v>61.98</v>
      </c>
      <c r="F81" s="84">
        <v>137818.35</v>
      </c>
      <c r="G81" s="84"/>
      <c r="H81" s="20">
        <v>131861.05</v>
      </c>
      <c r="I81" s="29">
        <v>5748.72</v>
      </c>
      <c r="J81" s="9">
        <f t="shared" si="0"/>
        <v>399837.39999999997</v>
      </c>
      <c r="K81" s="6">
        <f>SUM(J80:J81)</f>
        <v>8489495.69</v>
      </c>
    </row>
    <row r="82" spans="1:11" ht="12.75">
      <c r="A82" s="534">
        <v>37469</v>
      </c>
      <c r="B82" s="30" t="s">
        <v>7</v>
      </c>
      <c r="C82" s="85">
        <v>1128112.88</v>
      </c>
      <c r="D82" s="85">
        <v>110993.77</v>
      </c>
      <c r="E82" s="85">
        <v>0</v>
      </c>
      <c r="F82" s="85">
        <v>4884582.54</v>
      </c>
      <c r="G82" s="85"/>
      <c r="H82" s="106">
        <v>101327</v>
      </c>
      <c r="I82" s="31">
        <v>27022.34</v>
      </c>
      <c r="J82" s="19">
        <f t="shared" si="0"/>
        <v>6252038.529999999</v>
      </c>
      <c r="K82" s="6"/>
    </row>
    <row r="83" spans="1:11" ht="12.75">
      <c r="A83" s="534"/>
      <c r="B83" s="32" t="s">
        <v>8</v>
      </c>
      <c r="C83" s="86">
        <v>62186.7</v>
      </c>
      <c r="D83" s="86">
        <v>81772.93</v>
      </c>
      <c r="E83" s="86">
        <v>17558.77</v>
      </c>
      <c r="F83" s="86">
        <v>86545.67</v>
      </c>
      <c r="G83" s="86">
        <v>5042.95</v>
      </c>
      <c r="H83" s="22">
        <v>170942.16</v>
      </c>
      <c r="I83" s="33">
        <v>14789.26</v>
      </c>
      <c r="J83" s="19">
        <f t="shared" si="0"/>
        <v>438838.44000000006</v>
      </c>
      <c r="K83" s="6">
        <f>SUM(J82:J83)</f>
        <v>6690876.97</v>
      </c>
    </row>
    <row r="84" spans="1:11" ht="12.75">
      <c r="A84" s="519">
        <v>37834</v>
      </c>
      <c r="B84" s="115" t="s">
        <v>7</v>
      </c>
      <c r="C84" s="116">
        <v>1213575.31</v>
      </c>
      <c r="D84" s="116">
        <v>138236.43</v>
      </c>
      <c r="E84" s="116">
        <v>0</v>
      </c>
      <c r="F84" s="116">
        <f>124678.75+5490736.87</f>
        <v>5615415.62</v>
      </c>
      <c r="G84" s="116"/>
      <c r="H84" s="117">
        <v>9307.35</v>
      </c>
      <c r="I84" s="118">
        <v>54447.8</v>
      </c>
      <c r="J84" s="113">
        <f t="shared" si="0"/>
        <v>7030982.51</v>
      </c>
      <c r="K84" s="6"/>
    </row>
    <row r="85" spans="1:11" ht="12.75">
      <c r="A85" s="520"/>
      <c r="B85" s="119" t="s">
        <v>8</v>
      </c>
      <c r="C85" s="120">
        <v>153053.99</v>
      </c>
      <c r="D85" s="120">
        <v>126815.71</v>
      </c>
      <c r="E85" s="120">
        <v>99930.21</v>
      </c>
      <c r="F85" s="120">
        <f>174015.71</f>
        <v>174015.71</v>
      </c>
      <c r="G85" s="120">
        <v>9055.15</v>
      </c>
      <c r="H85" s="121">
        <v>241846.04</v>
      </c>
      <c r="I85" s="67">
        <v>16948.07</v>
      </c>
      <c r="J85" s="113">
        <f t="shared" si="0"/>
        <v>821664.88</v>
      </c>
      <c r="K85" s="6">
        <f>SUM(J84:J85)</f>
        <v>7852647.39</v>
      </c>
    </row>
    <row r="86" spans="1:10" ht="12.75">
      <c r="A86" s="504">
        <v>36404</v>
      </c>
      <c r="B86" s="34" t="s">
        <v>7</v>
      </c>
      <c r="C86" s="87">
        <v>1337111.71</v>
      </c>
      <c r="D86" s="87">
        <v>115913.23</v>
      </c>
      <c r="E86" s="87">
        <v>20597.06</v>
      </c>
      <c r="F86" s="87">
        <v>4897817</v>
      </c>
      <c r="G86" s="87"/>
      <c r="H86" s="107">
        <v>1481.82</v>
      </c>
      <c r="I86" s="35">
        <v>98892.96</v>
      </c>
      <c r="J86" s="5">
        <f t="shared" si="0"/>
        <v>6471813.78</v>
      </c>
    </row>
    <row r="87" spans="1:11" ht="12.75">
      <c r="A87" s="505"/>
      <c r="B87" s="36" t="s">
        <v>8</v>
      </c>
      <c r="C87" s="88">
        <v>70374.3</v>
      </c>
      <c r="D87" s="88">
        <v>0</v>
      </c>
      <c r="E87" s="88">
        <v>3464.16</v>
      </c>
      <c r="F87" s="88">
        <v>62746.53</v>
      </c>
      <c r="G87" s="88"/>
      <c r="H87" s="108">
        <v>923.84</v>
      </c>
      <c r="I87" s="37">
        <v>0</v>
      </c>
      <c r="J87" s="5">
        <f t="shared" si="0"/>
        <v>137508.83</v>
      </c>
      <c r="K87" s="6">
        <f>SUM(J86:J87)</f>
        <v>6609322.61</v>
      </c>
    </row>
    <row r="88" spans="1:10" ht="12.75">
      <c r="A88" s="529">
        <v>36770</v>
      </c>
      <c r="B88" s="38" t="s">
        <v>7</v>
      </c>
      <c r="C88" s="89">
        <f>'[1]2000'!C24</f>
        <v>1768907.96</v>
      </c>
      <c r="D88" s="89">
        <f>'[1]2000'!D24</f>
        <v>67261.9</v>
      </c>
      <c r="E88" s="94">
        <f>'[1]2000'!E24</f>
        <v>32939.47</v>
      </c>
      <c r="F88" s="89">
        <f>'[1]2000'!F24</f>
        <v>4294951</v>
      </c>
      <c r="G88" s="89"/>
      <c r="H88" s="109">
        <f>'[1]2000'!G24</f>
        <v>83674.1</v>
      </c>
      <c r="I88" s="39">
        <f>'[1]2000'!H24</f>
        <v>102593</v>
      </c>
      <c r="J88" s="8">
        <f t="shared" si="0"/>
        <v>6350327.43</v>
      </c>
    </row>
    <row r="89" spans="1:11" ht="12.75">
      <c r="A89" s="530"/>
      <c r="B89" s="40" t="s">
        <v>8</v>
      </c>
      <c r="C89" s="82">
        <f>'[1]2000'!C25</f>
        <v>93100.42</v>
      </c>
      <c r="D89" s="82">
        <f>'[1]2000'!D25</f>
        <v>0</v>
      </c>
      <c r="E89" s="95">
        <f>'[1]2000'!E25</f>
        <v>9514.87</v>
      </c>
      <c r="F89" s="82">
        <f>'[1]2000'!F25</f>
        <v>94743.98</v>
      </c>
      <c r="G89" s="82"/>
      <c r="H89" s="104">
        <f>'[1]2000'!G25</f>
        <v>42140.38</v>
      </c>
      <c r="I89" s="41">
        <f>'[1]2000'!H25</f>
        <v>498.96</v>
      </c>
      <c r="J89" s="8">
        <f t="shared" si="0"/>
        <v>239998.61</v>
      </c>
      <c r="K89" s="6">
        <f>SUM(J88:J89)</f>
        <v>6590326.04</v>
      </c>
    </row>
    <row r="90" spans="1:11" ht="12.75">
      <c r="A90" s="497">
        <f>A88+366</f>
        <v>37136</v>
      </c>
      <c r="B90" s="26" t="s">
        <v>7</v>
      </c>
      <c r="C90" s="83">
        <v>1485507.39</v>
      </c>
      <c r="D90" s="83">
        <v>45338.55</v>
      </c>
      <c r="E90" s="83">
        <v>11962.73</v>
      </c>
      <c r="F90" s="83">
        <v>4156964.18</v>
      </c>
      <c r="G90" s="83"/>
      <c r="H90" s="105">
        <v>6832.28</v>
      </c>
      <c r="I90" s="27">
        <v>49283.17</v>
      </c>
      <c r="J90" s="9">
        <f aca="true" t="shared" si="1" ref="J90:J125">SUM(C90:I90)</f>
        <v>5755888.3</v>
      </c>
      <c r="K90" s="6"/>
    </row>
    <row r="91" spans="1:11" ht="12.75">
      <c r="A91" s="497"/>
      <c r="B91" s="28" t="s">
        <v>8</v>
      </c>
      <c r="C91" s="84">
        <v>78184.6</v>
      </c>
      <c r="D91" s="84">
        <v>47943.37</v>
      </c>
      <c r="E91" s="84">
        <v>1138.51</v>
      </c>
      <c r="F91" s="84">
        <v>104278.4</v>
      </c>
      <c r="G91" s="84"/>
      <c r="H91" s="20">
        <v>121953.36</v>
      </c>
      <c r="I91" s="29">
        <v>3720.13</v>
      </c>
      <c r="J91" s="9">
        <f t="shared" si="1"/>
        <v>357218.37</v>
      </c>
      <c r="K91" s="6">
        <f>SUM(J90:J91)</f>
        <v>6113106.67</v>
      </c>
    </row>
    <row r="92" spans="1:11" ht="12.75">
      <c r="A92" s="534">
        <v>37500</v>
      </c>
      <c r="B92" s="30" t="s">
        <v>7</v>
      </c>
      <c r="C92" s="85">
        <v>1015900.58</v>
      </c>
      <c r="D92" s="85">
        <v>111590</v>
      </c>
      <c r="E92" s="85">
        <v>0</v>
      </c>
      <c r="F92" s="85">
        <v>4022178.61</v>
      </c>
      <c r="G92" s="85"/>
      <c r="H92" s="106">
        <v>155774.99</v>
      </c>
      <c r="I92" s="31">
        <v>28395.62</v>
      </c>
      <c r="J92" s="19">
        <f t="shared" si="1"/>
        <v>5333839.8</v>
      </c>
      <c r="K92" s="6"/>
    </row>
    <row r="93" spans="1:11" ht="12.75">
      <c r="A93" s="534"/>
      <c r="B93" s="32" t="s">
        <v>8</v>
      </c>
      <c r="C93" s="86">
        <v>59740.6</v>
      </c>
      <c r="D93" s="86">
        <v>61995.4</v>
      </c>
      <c r="E93" s="86">
        <v>14296.52</v>
      </c>
      <c r="F93" s="86">
        <v>84494.31</v>
      </c>
      <c r="G93" s="86">
        <v>1566.34</v>
      </c>
      <c r="H93" s="22">
        <v>95132.03</v>
      </c>
      <c r="I93" s="33">
        <v>9783.65</v>
      </c>
      <c r="J93" s="19">
        <f t="shared" si="1"/>
        <v>327008.85</v>
      </c>
      <c r="K93" s="6">
        <f>SUM(J92:J93)</f>
        <v>5660848.649999999</v>
      </c>
    </row>
    <row r="94" spans="1:11" ht="12.75">
      <c r="A94" s="519">
        <v>37865</v>
      </c>
      <c r="B94" s="115" t="s">
        <v>7</v>
      </c>
      <c r="C94" s="116">
        <v>1202497.71</v>
      </c>
      <c r="D94" s="116">
        <v>166843.64</v>
      </c>
      <c r="E94" s="116">
        <v>0</v>
      </c>
      <c r="F94" s="116">
        <f>36949.41+4663443.32</f>
        <v>4700392.73</v>
      </c>
      <c r="G94" s="116"/>
      <c r="H94" s="117">
        <v>4069.5</v>
      </c>
      <c r="I94" s="118">
        <v>35411.02</v>
      </c>
      <c r="J94" s="113">
        <f t="shared" si="1"/>
        <v>6109214.6</v>
      </c>
      <c r="K94" s="6"/>
    </row>
    <row r="95" spans="1:11" ht="12.75">
      <c r="A95" s="520"/>
      <c r="B95" s="119" t="s">
        <v>8</v>
      </c>
      <c r="C95" s="120">
        <v>114846.73</v>
      </c>
      <c r="D95" s="120">
        <v>89112.94</v>
      </c>
      <c r="E95" s="120">
        <v>62135.13</v>
      </c>
      <c r="F95" s="120">
        <f>155897.45</f>
        <v>155897.45</v>
      </c>
      <c r="G95" s="120">
        <v>2591.04</v>
      </c>
      <c r="H95" s="121">
        <v>186686.31</v>
      </c>
      <c r="I95" s="67">
        <v>7822.05</v>
      </c>
      <c r="J95" s="113">
        <f t="shared" si="1"/>
        <v>619091.65</v>
      </c>
      <c r="K95" s="6">
        <f>SUM(J94:J95)</f>
        <v>6728306.25</v>
      </c>
    </row>
    <row r="96" spans="1:10" ht="12.75">
      <c r="A96" s="504">
        <v>36434</v>
      </c>
      <c r="B96" s="34" t="s">
        <v>7</v>
      </c>
      <c r="C96" s="87">
        <v>1247990.01</v>
      </c>
      <c r="D96" s="87">
        <v>119697.14</v>
      </c>
      <c r="E96" s="87">
        <v>21943.17</v>
      </c>
      <c r="F96" s="87">
        <v>3590599</v>
      </c>
      <c r="G96" s="87"/>
      <c r="H96" s="107">
        <v>2153.9</v>
      </c>
      <c r="I96" s="35">
        <v>95259.87</v>
      </c>
      <c r="J96" s="5">
        <f t="shared" si="1"/>
        <v>5077643.090000001</v>
      </c>
    </row>
    <row r="97" spans="1:11" ht="12.75">
      <c r="A97" s="505"/>
      <c r="B97" s="36" t="s">
        <v>8</v>
      </c>
      <c r="C97" s="88">
        <v>65583.48</v>
      </c>
      <c r="D97" s="88">
        <v>0</v>
      </c>
      <c r="E97" s="88">
        <v>123.98</v>
      </c>
      <c r="F97" s="88">
        <v>0</v>
      </c>
      <c r="G97" s="88"/>
      <c r="H97" s="108">
        <v>169.34</v>
      </c>
      <c r="I97" s="37">
        <v>0</v>
      </c>
      <c r="J97" s="5">
        <f t="shared" si="1"/>
        <v>65876.79999999999</v>
      </c>
      <c r="K97" s="6">
        <f>SUM(J96:J97)</f>
        <v>5143519.890000001</v>
      </c>
    </row>
    <row r="98" spans="1:10" ht="12.75">
      <c r="A98" s="529">
        <v>36800</v>
      </c>
      <c r="B98" s="38" t="s">
        <v>7</v>
      </c>
      <c r="C98" s="89">
        <f>'[1]2000'!C26</f>
        <v>1639766.8</v>
      </c>
      <c r="D98" s="89">
        <f>'[1]2000'!D26</f>
        <v>70632.88</v>
      </c>
      <c r="E98" s="89">
        <f>'[1]2000'!E26</f>
        <v>33959.87</v>
      </c>
      <c r="F98" s="89">
        <f>'[1]2000'!F26</f>
        <v>3536266</v>
      </c>
      <c r="G98" s="89"/>
      <c r="H98" s="109">
        <f>'[1]2000'!G26</f>
        <v>60196.5</v>
      </c>
      <c r="I98" s="39">
        <f>'[1]2000'!H26</f>
        <v>83320</v>
      </c>
      <c r="J98" s="8">
        <f t="shared" si="1"/>
        <v>5424142.050000001</v>
      </c>
    </row>
    <row r="99" spans="1:11" ht="12.75">
      <c r="A99" s="530"/>
      <c r="B99" s="40" t="s">
        <v>8</v>
      </c>
      <c r="C99" s="82">
        <f>'[1]2000'!C27</f>
        <v>86303.52</v>
      </c>
      <c r="D99" s="82">
        <f>'[1]2000'!D27</f>
        <v>0</v>
      </c>
      <c r="E99" s="82">
        <f>'[1]2000'!E27</f>
        <v>12652.65</v>
      </c>
      <c r="F99" s="82">
        <f>'[1]2000'!F27</f>
        <v>104307.75</v>
      </c>
      <c r="G99" s="82"/>
      <c r="H99" s="104">
        <f>'[1]2000'!G27</f>
        <v>58048.51</v>
      </c>
      <c r="I99" s="41">
        <f>'[1]2000'!H27</f>
        <v>2030.83</v>
      </c>
      <c r="J99" s="8">
        <f t="shared" si="1"/>
        <v>263343.26</v>
      </c>
      <c r="K99" s="6">
        <f>SUM(J98:J99)</f>
        <v>5687485.3100000005</v>
      </c>
    </row>
    <row r="100" spans="1:11" ht="12.75">
      <c r="A100" s="497">
        <f>A98+366</f>
        <v>37166</v>
      </c>
      <c r="B100" s="26" t="s">
        <v>7</v>
      </c>
      <c r="C100" s="83">
        <v>1458733.09</v>
      </c>
      <c r="D100" s="83">
        <v>45730.91</v>
      </c>
      <c r="E100" s="83">
        <v>8030.72</v>
      </c>
      <c r="F100" s="83">
        <v>4467214.82</v>
      </c>
      <c r="G100" s="83"/>
      <c r="H100" s="105">
        <v>4249.12</v>
      </c>
      <c r="I100" s="27">
        <v>59631.53</v>
      </c>
      <c r="J100" s="9">
        <f t="shared" si="1"/>
        <v>6043590.19</v>
      </c>
      <c r="K100" s="6"/>
    </row>
    <row r="101" spans="1:11" ht="12.75">
      <c r="A101" s="497"/>
      <c r="B101" s="28" t="s">
        <v>8</v>
      </c>
      <c r="C101" s="84">
        <v>76775.43</v>
      </c>
      <c r="D101" s="84">
        <v>50139.25</v>
      </c>
      <c r="E101" s="84">
        <v>385.52</v>
      </c>
      <c r="F101" s="84">
        <v>107652.25</v>
      </c>
      <c r="G101" s="84"/>
      <c r="H101" s="20">
        <v>110055.29</v>
      </c>
      <c r="I101" s="29">
        <v>2068.02</v>
      </c>
      <c r="J101" s="9">
        <f t="shared" si="1"/>
        <v>347075.76</v>
      </c>
      <c r="K101" s="6">
        <f>SUM(J100:J101)</f>
        <v>6390665.95</v>
      </c>
    </row>
    <row r="102" spans="1:11" ht="12.75">
      <c r="A102" s="534">
        <v>37530</v>
      </c>
      <c r="B102" s="30" t="s">
        <v>7</v>
      </c>
      <c r="C102" s="85">
        <v>1057872.92</v>
      </c>
      <c r="D102" s="85">
        <v>94171.2</v>
      </c>
      <c r="E102" s="85">
        <v>0</v>
      </c>
      <c r="F102" s="85">
        <f>3779854+1887.21</f>
        <v>3781741.21</v>
      </c>
      <c r="G102" s="85"/>
      <c r="H102" s="106">
        <v>120277.75</v>
      </c>
      <c r="I102" s="31">
        <v>32763.5</v>
      </c>
      <c r="J102" s="19">
        <f t="shared" si="1"/>
        <v>5086826.58</v>
      </c>
      <c r="K102" s="6"/>
    </row>
    <row r="103" spans="1:11" ht="12.75">
      <c r="A103" s="534"/>
      <c r="B103" s="32" t="s">
        <v>8</v>
      </c>
      <c r="C103" s="86">
        <v>69605.04</v>
      </c>
      <c r="D103" s="86">
        <v>81196.6</v>
      </c>
      <c r="E103" s="86">
        <v>10617.3</v>
      </c>
      <c r="F103" s="86">
        <v>67199.54</v>
      </c>
      <c r="G103" s="86">
        <v>2330.01</v>
      </c>
      <c r="H103" s="22">
        <v>115183.08</v>
      </c>
      <c r="I103" s="33">
        <v>21116.49</v>
      </c>
      <c r="J103" s="19">
        <f t="shared" si="1"/>
        <v>367248.06</v>
      </c>
      <c r="K103" s="6">
        <f>SUM(J102:J103)</f>
        <v>5454074.64</v>
      </c>
    </row>
    <row r="104" spans="1:11" ht="12.75">
      <c r="A104" s="549">
        <v>37895</v>
      </c>
      <c r="B104" s="115" t="s">
        <v>7</v>
      </c>
      <c r="C104" s="116">
        <v>1252666.4</v>
      </c>
      <c r="D104" s="116">
        <v>163490.68</v>
      </c>
      <c r="E104" s="116">
        <v>0</v>
      </c>
      <c r="F104" s="116">
        <f>39935.94+4777425.06</f>
        <v>4817361</v>
      </c>
      <c r="G104" s="116"/>
      <c r="H104" s="117">
        <v>47842.28</v>
      </c>
      <c r="I104" s="118">
        <v>59291.21</v>
      </c>
      <c r="J104" s="113">
        <f t="shared" si="1"/>
        <v>6340651.57</v>
      </c>
      <c r="K104" s="6"/>
    </row>
    <row r="105" spans="1:11" ht="12.75">
      <c r="A105" s="550"/>
      <c r="B105" s="119" t="s">
        <v>8</v>
      </c>
      <c r="C105" s="120">
        <v>169060.32</v>
      </c>
      <c r="D105" s="120">
        <v>143413.35</v>
      </c>
      <c r="E105" s="120">
        <v>94921.34</v>
      </c>
      <c r="F105" s="120">
        <v>170548.63</v>
      </c>
      <c r="G105" s="120">
        <v>15111.35</v>
      </c>
      <c r="H105" s="121">
        <v>212612.04</v>
      </c>
      <c r="I105" s="67">
        <v>11496.96</v>
      </c>
      <c r="J105" s="113">
        <f t="shared" si="1"/>
        <v>817163.99</v>
      </c>
      <c r="K105" s="6">
        <f>SUM(J104:J105)</f>
        <v>7157815.5600000005</v>
      </c>
    </row>
    <row r="106" spans="1:10" ht="12.75">
      <c r="A106" s="504">
        <v>36465</v>
      </c>
      <c r="B106" s="34" t="s">
        <v>7</v>
      </c>
      <c r="C106" s="87">
        <v>515775</v>
      </c>
      <c r="D106" s="87">
        <v>49498</v>
      </c>
      <c r="E106" s="87">
        <v>12009</v>
      </c>
      <c r="F106" s="87">
        <v>1423107</v>
      </c>
      <c r="G106" s="87"/>
      <c r="H106" s="107">
        <v>5498</v>
      </c>
      <c r="I106" s="35">
        <v>30483</v>
      </c>
      <c r="J106" s="5">
        <f t="shared" si="1"/>
        <v>2036370</v>
      </c>
    </row>
    <row r="107" spans="1:11" ht="12.75">
      <c r="A107" s="505"/>
      <c r="B107" s="36" t="s">
        <v>8</v>
      </c>
      <c r="C107" s="88">
        <v>27008</v>
      </c>
      <c r="D107" s="88">
        <v>0</v>
      </c>
      <c r="E107" s="88">
        <v>910</v>
      </c>
      <c r="F107" s="88">
        <v>59971</v>
      </c>
      <c r="G107" s="88"/>
      <c r="H107" s="108">
        <v>5022</v>
      </c>
      <c r="I107" s="37">
        <v>0</v>
      </c>
      <c r="J107" s="5">
        <f t="shared" si="1"/>
        <v>92911</v>
      </c>
      <c r="K107" s="6">
        <f>SUM(J106:J107)</f>
        <v>2129281</v>
      </c>
    </row>
    <row r="108" spans="1:10" ht="12.75">
      <c r="A108" s="529">
        <v>36831</v>
      </c>
      <c r="B108" s="38" t="s">
        <v>7</v>
      </c>
      <c r="C108" s="89">
        <f>'[1]2000'!C28</f>
        <v>757702.75</v>
      </c>
      <c r="D108" s="89">
        <f>'[1]2000'!D28</f>
        <v>38714.99</v>
      </c>
      <c r="E108" s="89">
        <f>'[1]2000'!E28</f>
        <v>13446.07</v>
      </c>
      <c r="F108" s="89">
        <f>'[1]2000'!F28</f>
        <v>1545697</v>
      </c>
      <c r="G108" s="89"/>
      <c r="H108" s="109">
        <f>'[1]2000'!G28</f>
        <v>53618.85</v>
      </c>
      <c r="I108" s="39">
        <f>'[1]2000'!H28</f>
        <v>29955</v>
      </c>
      <c r="J108" s="8">
        <f t="shared" si="1"/>
        <v>2439134.66</v>
      </c>
    </row>
    <row r="109" spans="1:11" ht="12.75">
      <c r="A109" s="530"/>
      <c r="B109" s="40" t="s">
        <v>8</v>
      </c>
      <c r="C109" s="82">
        <f>'[1]2000'!C29</f>
        <v>45462.16</v>
      </c>
      <c r="D109" s="82">
        <f>'[1]2000'!D29</f>
        <v>0</v>
      </c>
      <c r="E109" s="82">
        <f>'[1]2000'!E29</f>
        <v>5406.19</v>
      </c>
      <c r="F109" s="82">
        <f>'[1]2000'!F29</f>
        <v>117765.79</v>
      </c>
      <c r="G109" s="82"/>
      <c r="H109" s="104">
        <f>'[1]2000'!G29</f>
        <v>49586.07</v>
      </c>
      <c r="I109" s="41">
        <f>'[1]2000'!H29</f>
        <v>884.91</v>
      </c>
      <c r="J109" s="8">
        <f t="shared" si="1"/>
        <v>219105.12000000002</v>
      </c>
      <c r="K109" s="6">
        <f>SUM(J108:J109)</f>
        <v>2658239.7800000003</v>
      </c>
    </row>
    <row r="110" spans="1:11" ht="12.75">
      <c r="A110" s="497">
        <f>A108+366</f>
        <v>37197</v>
      </c>
      <c r="B110" s="26" t="s">
        <v>7</v>
      </c>
      <c r="C110" s="83">
        <v>542219.39</v>
      </c>
      <c r="D110" s="83">
        <v>26593.47</v>
      </c>
      <c r="E110" s="83">
        <v>3526.03</v>
      </c>
      <c r="F110" s="83">
        <f>1393998.97+117706.63</f>
        <v>1511705.6</v>
      </c>
      <c r="G110" s="83"/>
      <c r="H110" s="105">
        <v>4031.71</v>
      </c>
      <c r="I110" s="27">
        <v>23827.46</v>
      </c>
      <c r="J110" s="9">
        <f t="shared" si="1"/>
        <v>2111903.66</v>
      </c>
      <c r="K110" s="6"/>
    </row>
    <row r="111" spans="1:11" ht="12.75">
      <c r="A111" s="497"/>
      <c r="B111" s="28" t="s">
        <v>8</v>
      </c>
      <c r="C111" s="84">
        <v>28537.87</v>
      </c>
      <c r="D111" s="84">
        <v>69414.87</v>
      </c>
      <c r="E111" s="84">
        <v>5646.34</v>
      </c>
      <c r="F111" s="84">
        <v>9177.84</v>
      </c>
      <c r="G111" s="84"/>
      <c r="H111" s="20">
        <v>87559.93</v>
      </c>
      <c r="I111" s="29">
        <v>4355.03</v>
      </c>
      <c r="J111" s="9">
        <f t="shared" si="1"/>
        <v>204691.87999999998</v>
      </c>
      <c r="K111" s="6">
        <f>SUM(J110:J111)</f>
        <v>2316595.54</v>
      </c>
    </row>
    <row r="112" spans="1:11" ht="12.75">
      <c r="A112" s="534">
        <v>37561</v>
      </c>
      <c r="B112" s="30" t="s">
        <v>7</v>
      </c>
      <c r="C112" s="85">
        <v>534770.49</v>
      </c>
      <c r="D112" s="85">
        <v>50843.67</v>
      </c>
      <c r="E112" s="85">
        <v>0</v>
      </c>
      <c r="F112" s="85">
        <v>1010429.21</v>
      </c>
      <c r="G112" s="85"/>
      <c r="H112" s="106">
        <v>94375.25</v>
      </c>
      <c r="I112" s="31">
        <v>9500.8</v>
      </c>
      <c r="J112" s="19">
        <f t="shared" si="1"/>
        <v>1699919.4200000002</v>
      </c>
      <c r="K112" s="6"/>
    </row>
    <row r="113" spans="1:11" ht="12.75">
      <c r="A113" s="534"/>
      <c r="B113" s="32" t="s">
        <v>8</v>
      </c>
      <c r="C113" s="86">
        <v>44740.7</v>
      </c>
      <c r="D113" s="86">
        <v>78367.9</v>
      </c>
      <c r="E113" s="86">
        <v>13563.66</v>
      </c>
      <c r="F113" s="86">
        <v>80332.69</v>
      </c>
      <c r="G113" s="86">
        <v>4473.12</v>
      </c>
      <c r="H113" s="22">
        <v>83814.09</v>
      </c>
      <c r="I113" s="33">
        <v>9588.89</v>
      </c>
      <c r="J113" s="19">
        <f t="shared" si="1"/>
        <v>314881.05</v>
      </c>
      <c r="K113" s="6">
        <f>SUM(J112:J113)</f>
        <v>2014800.4700000002</v>
      </c>
    </row>
    <row r="114" spans="1:11" ht="12.75">
      <c r="A114" s="519">
        <v>37926</v>
      </c>
      <c r="B114" s="115" t="s">
        <v>7</v>
      </c>
      <c r="C114" s="116">
        <v>414664.54</v>
      </c>
      <c r="D114" s="116">
        <v>67508.11</v>
      </c>
      <c r="E114" s="116">
        <v>0</v>
      </c>
      <c r="F114" s="116">
        <f>39847.22+1750534.68</f>
        <v>1790381.9</v>
      </c>
      <c r="G114" s="116"/>
      <c r="H114" s="117">
        <v>25673.75</v>
      </c>
      <c r="I114" s="118">
        <v>23044.1</v>
      </c>
      <c r="J114" s="113">
        <f t="shared" si="1"/>
        <v>2321272.4</v>
      </c>
      <c r="K114" s="6"/>
    </row>
    <row r="115" spans="1:11" ht="12.75">
      <c r="A115" s="520"/>
      <c r="B115" s="119" t="s">
        <v>8</v>
      </c>
      <c r="C115" s="120">
        <v>204691.02</v>
      </c>
      <c r="D115" s="120">
        <v>171293.02</v>
      </c>
      <c r="E115" s="120">
        <v>107428.56</v>
      </c>
      <c r="F115" s="120">
        <v>186590.24</v>
      </c>
      <c r="G115" s="120">
        <v>21586.61</v>
      </c>
      <c r="H115" s="121">
        <v>180572.77</v>
      </c>
      <c r="I115" s="67">
        <v>16177.41</v>
      </c>
      <c r="J115" s="113">
        <f t="shared" si="1"/>
        <v>888339.63</v>
      </c>
      <c r="K115" s="6">
        <f>SUM(J114:J115)</f>
        <v>3209612.03</v>
      </c>
    </row>
    <row r="116" spans="1:10" ht="12.75">
      <c r="A116" s="504">
        <v>36495</v>
      </c>
      <c r="B116" s="34" t="s">
        <v>7</v>
      </c>
      <c r="C116" s="87">
        <v>464544.31</v>
      </c>
      <c r="D116" s="87">
        <v>29193.59</v>
      </c>
      <c r="E116" s="87">
        <v>1925.65</v>
      </c>
      <c r="F116" s="87">
        <v>1369685</v>
      </c>
      <c r="G116" s="87"/>
      <c r="H116" s="107">
        <v>23.54</v>
      </c>
      <c r="I116" s="35">
        <v>15041.03</v>
      </c>
      <c r="J116" s="5">
        <f t="shared" si="1"/>
        <v>1880413.12</v>
      </c>
    </row>
    <row r="117" spans="1:11" ht="12.75">
      <c r="A117" s="505"/>
      <c r="B117" s="36" t="s">
        <v>8</v>
      </c>
      <c r="C117" s="88">
        <v>24338.95</v>
      </c>
      <c r="D117" s="88">
        <v>0</v>
      </c>
      <c r="E117" s="88">
        <v>109.98</v>
      </c>
      <c r="F117" s="88">
        <v>39536.01</v>
      </c>
      <c r="G117" s="88"/>
      <c r="H117" s="108">
        <v>0</v>
      </c>
      <c r="I117" s="37">
        <v>0</v>
      </c>
      <c r="J117" s="5">
        <f t="shared" si="1"/>
        <v>63984.94</v>
      </c>
      <c r="K117" s="6">
        <f>SUM(J116:J117)</f>
        <v>1944398.06</v>
      </c>
    </row>
    <row r="118" spans="1:11" ht="12.75">
      <c r="A118" s="510">
        <f>A116+366</f>
        <v>36861</v>
      </c>
      <c r="B118" s="42" t="s">
        <v>7</v>
      </c>
      <c r="C118" s="90">
        <f>'[1]2000'!C30</f>
        <v>628139.77</v>
      </c>
      <c r="D118" s="90">
        <f>'[1]2000'!D30</f>
        <v>47423.21</v>
      </c>
      <c r="E118" s="90">
        <f>'[1]2000'!E30</f>
        <v>9904.37</v>
      </c>
      <c r="F118" s="90">
        <f>'[1]2000'!F30</f>
        <v>1132369</v>
      </c>
      <c r="G118" s="90"/>
      <c r="H118" s="110">
        <f>'[1]2000'!G30</f>
        <v>42359.64</v>
      </c>
      <c r="I118" s="43">
        <f>'[1]2000'!H30</f>
        <v>13540</v>
      </c>
      <c r="J118" s="13">
        <f t="shared" si="1"/>
        <v>1873735.99</v>
      </c>
      <c r="K118" s="6"/>
    </row>
    <row r="119" spans="1:11" ht="12.75">
      <c r="A119" s="510"/>
      <c r="B119" s="44" t="s">
        <v>8</v>
      </c>
      <c r="C119" s="91">
        <f>'[1]2000'!C31</f>
        <v>33059.99</v>
      </c>
      <c r="D119" s="91">
        <f>'[1]2000'!D31</f>
        <v>0</v>
      </c>
      <c r="E119" s="91">
        <f>'[1]2000'!E31</f>
        <v>7982.16</v>
      </c>
      <c r="F119" s="91">
        <f>'[1]2000'!F31</f>
        <v>90166.89</v>
      </c>
      <c r="G119" s="91"/>
      <c r="H119" s="111">
        <f>'[1]2000'!G31</f>
        <v>70896.87</v>
      </c>
      <c r="I119" s="45">
        <f>'[1]2000'!H31</f>
        <v>1311.92</v>
      </c>
      <c r="J119" s="13">
        <f t="shared" si="1"/>
        <v>203417.83</v>
      </c>
      <c r="K119" s="6">
        <f>SUM(J118:J119)</f>
        <v>2077153.82</v>
      </c>
    </row>
    <row r="120" spans="1:13" ht="12.75">
      <c r="A120" s="497">
        <f>A118+366</f>
        <v>37227</v>
      </c>
      <c r="B120" s="46" t="s">
        <v>7</v>
      </c>
      <c r="C120" s="83">
        <v>397724.51</v>
      </c>
      <c r="D120" s="83">
        <v>18906.56</v>
      </c>
      <c r="E120" s="83">
        <v>518</v>
      </c>
      <c r="F120" s="83">
        <f>800381.94+9206.86</f>
        <v>809588.7999999999</v>
      </c>
      <c r="G120" s="83"/>
      <c r="H120" s="105">
        <v>0</v>
      </c>
      <c r="I120" s="27">
        <v>9174.45</v>
      </c>
      <c r="J120" s="14">
        <f t="shared" si="1"/>
        <v>1235912.3199999998</v>
      </c>
      <c r="M120" s="6"/>
    </row>
    <row r="121" spans="1:13" ht="12.75">
      <c r="A121" s="497"/>
      <c r="B121" s="47" t="s">
        <v>8</v>
      </c>
      <c r="C121" s="84">
        <v>20932.87</v>
      </c>
      <c r="D121" s="84">
        <v>64822.47</v>
      </c>
      <c r="E121" s="84">
        <v>1927.55</v>
      </c>
      <c r="F121" s="84">
        <v>90330.98</v>
      </c>
      <c r="G121" s="84"/>
      <c r="H121" s="20">
        <v>60594.49</v>
      </c>
      <c r="I121" s="29">
        <v>3716.27</v>
      </c>
      <c r="J121" s="14">
        <f t="shared" si="1"/>
        <v>242324.62999999998</v>
      </c>
      <c r="K121" s="6">
        <f>SUM(J120:J121)</f>
        <v>1478236.9499999997</v>
      </c>
      <c r="M121" s="6"/>
    </row>
    <row r="122" spans="1:13" ht="12.75">
      <c r="A122" s="534">
        <v>37591</v>
      </c>
      <c r="B122" s="30" t="s">
        <v>7</v>
      </c>
      <c r="C122" s="85">
        <v>325750.48</v>
      </c>
      <c r="D122" s="85">
        <v>27947.98</v>
      </c>
      <c r="E122" s="85"/>
      <c r="F122" s="85">
        <v>710361.39</v>
      </c>
      <c r="G122" s="85"/>
      <c r="H122" s="106">
        <v>83839</v>
      </c>
      <c r="I122" s="31">
        <v>11266.42</v>
      </c>
      <c r="J122" s="19">
        <f t="shared" si="1"/>
        <v>1159165.27</v>
      </c>
      <c r="K122" s="6"/>
      <c r="M122" s="6"/>
    </row>
    <row r="123" spans="1:13" ht="12.75">
      <c r="A123" s="534"/>
      <c r="B123" s="32" t="s">
        <v>8</v>
      </c>
      <c r="C123" s="86">
        <v>130330.65</v>
      </c>
      <c r="D123" s="86">
        <v>120160</v>
      </c>
      <c r="E123" s="86">
        <v>20272.03</v>
      </c>
      <c r="F123" s="86">
        <v>83602.94</v>
      </c>
      <c r="G123" s="86">
        <v>13985.11</v>
      </c>
      <c r="H123" s="22">
        <v>84116.1</v>
      </c>
      <c r="I123" s="33">
        <v>8557.21</v>
      </c>
      <c r="J123" s="19">
        <f t="shared" si="1"/>
        <v>461024.04</v>
      </c>
      <c r="K123" s="6">
        <f>SUM(J122:J123)</f>
        <v>1620189.31</v>
      </c>
      <c r="M123" s="6"/>
    </row>
    <row r="124" spans="1:13" ht="12.75">
      <c r="A124" s="519">
        <v>37956</v>
      </c>
      <c r="B124" s="122" t="s">
        <v>7</v>
      </c>
      <c r="C124" s="116">
        <v>278479.16</v>
      </c>
      <c r="D124" s="116">
        <v>30471.39</v>
      </c>
      <c r="E124" s="116"/>
      <c r="F124" s="116">
        <f>694096.08+-8803.11</f>
        <v>685292.97</v>
      </c>
      <c r="G124" s="116"/>
      <c r="H124" s="117">
        <v>15624.75</v>
      </c>
      <c r="I124" s="118">
        <v>10192.4</v>
      </c>
      <c r="J124" s="113">
        <f t="shared" si="1"/>
        <v>1020060.67</v>
      </c>
      <c r="K124" s="6"/>
      <c r="M124" s="6"/>
    </row>
    <row r="125" spans="1:13" ht="13.5" thickBot="1">
      <c r="A125" s="548"/>
      <c r="B125" s="123" t="s">
        <v>8</v>
      </c>
      <c r="C125" s="124">
        <v>195052.34</v>
      </c>
      <c r="D125" s="124">
        <v>155211.13</v>
      </c>
      <c r="E125" s="124">
        <v>78636.97</v>
      </c>
      <c r="F125" s="124">
        <f>144646.19</f>
        <v>144646.19</v>
      </c>
      <c r="G125" s="124">
        <v>23966.69</v>
      </c>
      <c r="H125" s="125">
        <v>160797.89</v>
      </c>
      <c r="I125" s="126">
        <v>8372.7</v>
      </c>
      <c r="J125" s="113">
        <f t="shared" si="1"/>
        <v>766683.9099999998</v>
      </c>
      <c r="K125" s="6">
        <f>SUM(J124:J125)</f>
        <v>1786744.5799999998</v>
      </c>
      <c r="M125" s="6"/>
    </row>
    <row r="126" spans="3:13" ht="12.75">
      <c r="C126" s="15"/>
      <c r="D126" s="15"/>
      <c r="E126" s="15"/>
      <c r="F126" s="15"/>
      <c r="G126" s="15"/>
      <c r="H126" s="15"/>
      <c r="I126" s="15"/>
      <c r="M126" s="6"/>
    </row>
    <row r="127" spans="1:11" ht="12.75">
      <c r="A127" t="s">
        <v>9</v>
      </c>
      <c r="B127" t="str">
        <f>B116</f>
        <v>Wholesale</v>
      </c>
      <c r="C127" s="6">
        <f aca="true" t="shared" si="2" ref="C127:I128">SUM(C116,C106,C96,C86,C76,C66,C56,C46,C36,C26,C16,C6)</f>
        <v>10992498.690000001</v>
      </c>
      <c r="D127" s="6">
        <f t="shared" si="2"/>
        <v>790575.8999999999</v>
      </c>
      <c r="E127" s="6">
        <f t="shared" si="2"/>
        <v>222920.91</v>
      </c>
      <c r="F127" s="6">
        <f t="shared" si="2"/>
        <v>33150368</v>
      </c>
      <c r="G127" s="6">
        <f>SUM(G116,G106,G96,G86,G76,G66,G56,G46,G36,G26,G16,G6)</f>
        <v>0</v>
      </c>
      <c r="H127" s="6">
        <f t="shared" si="2"/>
        <v>25503.57</v>
      </c>
      <c r="I127" s="6">
        <f t="shared" si="2"/>
        <v>720315.38</v>
      </c>
      <c r="J127" s="6">
        <f>SUM(C127:I127)</f>
        <v>45902182.45</v>
      </c>
      <c r="K127" s="6"/>
    </row>
    <row r="128" spans="2:11" ht="12.75">
      <c r="B128" t="str">
        <f>B117</f>
        <v>Retail</v>
      </c>
      <c r="C128" s="6">
        <f t="shared" si="2"/>
        <v>574942.9099999999</v>
      </c>
      <c r="D128" s="6">
        <f t="shared" si="2"/>
        <v>0</v>
      </c>
      <c r="E128" s="6">
        <f t="shared" si="2"/>
        <v>9910.41</v>
      </c>
      <c r="F128" s="6">
        <f t="shared" si="2"/>
        <v>557323.42</v>
      </c>
      <c r="G128" s="6">
        <f>SUM(G117,G107,G97,G87,G77,G67,G57,G47,G37,G27,G17,G7)</f>
        <v>0</v>
      </c>
      <c r="H128" s="6">
        <f t="shared" si="2"/>
        <v>44045.649999999994</v>
      </c>
      <c r="I128" s="6">
        <f t="shared" si="2"/>
        <v>0</v>
      </c>
      <c r="J128" s="6">
        <f>SUM(C128:I128)</f>
        <v>1186222.39</v>
      </c>
      <c r="K128" s="6">
        <f>SUM(J127:J128)</f>
        <v>47088404.84</v>
      </c>
    </row>
    <row r="129" ht="12.75">
      <c r="K129" s="6"/>
    </row>
    <row r="130" spans="1:11" ht="12.75">
      <c r="A130" t="s">
        <v>10</v>
      </c>
      <c r="B130" t="str">
        <f>B120</f>
        <v>Wholesale</v>
      </c>
      <c r="C130" s="6">
        <f aca="true" t="shared" si="3" ref="C130:I131">SUM(C118,C108,C98,C88,C78,C68,C58,C48,C38,C28,C18,C8)</f>
        <v>13116070.149999999</v>
      </c>
      <c r="D130" s="6">
        <f t="shared" si="3"/>
        <v>702754.6</v>
      </c>
      <c r="E130" s="6">
        <f t="shared" si="3"/>
        <v>247541.91</v>
      </c>
      <c r="F130" s="6">
        <f t="shared" si="3"/>
        <v>33229603</v>
      </c>
      <c r="G130" s="6">
        <f>SUM(G118,G108,G98,G88,G78,G68,G58,G48,G38,G28,G18,G8)</f>
        <v>0</v>
      </c>
      <c r="H130" s="6">
        <f t="shared" si="3"/>
        <v>716588.36</v>
      </c>
      <c r="I130" s="6">
        <f t="shared" si="3"/>
        <v>599705.2399999999</v>
      </c>
      <c r="J130" s="6">
        <f>SUM(C130:I130)</f>
        <v>48612263.26</v>
      </c>
      <c r="K130" s="6"/>
    </row>
    <row r="131" spans="2:11" ht="12.75">
      <c r="B131" t="str">
        <f>B121</f>
        <v>Retail</v>
      </c>
      <c r="C131" s="6">
        <f t="shared" si="3"/>
        <v>695902.56</v>
      </c>
      <c r="D131" s="6">
        <f t="shared" si="3"/>
        <v>0</v>
      </c>
      <c r="E131" s="6">
        <f t="shared" si="3"/>
        <v>57607.93000000001</v>
      </c>
      <c r="F131" s="6">
        <f t="shared" si="3"/>
        <v>1341514.84</v>
      </c>
      <c r="G131" s="6">
        <f>SUM(G119,G109,G99,G89,G79,G69,G59,G49,G39,G29,G19,G9)</f>
        <v>0</v>
      </c>
      <c r="H131" s="6">
        <f t="shared" si="3"/>
        <v>577191.3300000001</v>
      </c>
      <c r="I131" s="6">
        <f t="shared" si="3"/>
        <v>6595.179999999999</v>
      </c>
      <c r="J131" s="6">
        <f>SUM(C131:I131)</f>
        <v>2678811.8400000003</v>
      </c>
      <c r="K131" s="6">
        <f>SUM(J130:J131)</f>
        <v>51291075.1</v>
      </c>
    </row>
    <row r="132" spans="3:11" ht="12.75">
      <c r="C132" s="6"/>
      <c r="D132" s="6"/>
      <c r="E132" s="6"/>
      <c r="F132" s="6"/>
      <c r="G132" s="6"/>
      <c r="H132" s="6"/>
      <c r="I132" s="6"/>
      <c r="K132" s="6"/>
    </row>
    <row r="133" spans="1:11" ht="12.75">
      <c r="A133" t="s">
        <v>11</v>
      </c>
      <c r="B133" t="str">
        <f>B127</f>
        <v>Wholesale</v>
      </c>
      <c r="C133" s="6">
        <f aca="true" t="shared" si="4" ref="C133:I134">C120+C110+C100+C90+C80+C70+C60+C50+C40+C30+C20+C10</f>
        <v>12968113.379999999</v>
      </c>
      <c r="D133" s="6">
        <f t="shared" si="4"/>
        <v>570546.3099999999</v>
      </c>
      <c r="E133" s="6">
        <f t="shared" si="4"/>
        <v>90235.89</v>
      </c>
      <c r="F133" s="6">
        <f t="shared" si="4"/>
        <v>35440721.45999999</v>
      </c>
      <c r="G133" s="6">
        <f>G120+G110+G100+G90+G80+G70+G60+G50+G40+G30+G20+G10</f>
        <v>0</v>
      </c>
      <c r="H133" s="6">
        <f t="shared" si="4"/>
        <v>214742.91</v>
      </c>
      <c r="I133" s="6">
        <f t="shared" si="4"/>
        <v>457968.14</v>
      </c>
      <c r="J133" s="6">
        <f>SUM(C133:I133)</f>
        <v>49742328.08999999</v>
      </c>
      <c r="K133" s="6"/>
    </row>
    <row r="134" spans="2:11" ht="12.75">
      <c r="B134" t="str">
        <f>B128</f>
        <v>Retail</v>
      </c>
      <c r="C134" s="6">
        <f t="shared" si="4"/>
        <v>682369.9299999999</v>
      </c>
      <c r="D134" s="6">
        <f t="shared" si="4"/>
        <v>265563.99</v>
      </c>
      <c r="E134" s="6">
        <f t="shared" si="4"/>
        <v>65668.37</v>
      </c>
      <c r="F134" s="6">
        <f t="shared" si="4"/>
        <v>1676091.7000000002</v>
      </c>
      <c r="G134" s="6">
        <f>G121+G111+G101+G91+G81+G71+G61+G51+G41+G31+G21+G11</f>
        <v>0</v>
      </c>
      <c r="H134" s="6">
        <f t="shared" si="4"/>
        <v>1178398.22</v>
      </c>
      <c r="I134" s="6">
        <f t="shared" si="4"/>
        <v>62124.00000000001</v>
      </c>
      <c r="J134" s="6">
        <f>SUM(C134:I134)</f>
        <v>3930216.21</v>
      </c>
      <c r="K134" s="6">
        <f>SUM(J133:J134)</f>
        <v>53672544.29999999</v>
      </c>
    </row>
    <row r="135" spans="3:11" ht="12.75">
      <c r="C135" s="6"/>
      <c r="D135" s="6"/>
      <c r="E135" s="6"/>
      <c r="F135" s="6"/>
      <c r="G135" s="6"/>
      <c r="H135" s="6"/>
      <c r="I135" s="6"/>
      <c r="K135" s="6"/>
    </row>
    <row r="136" spans="1:11" ht="12.75">
      <c r="A136" t="s">
        <v>14</v>
      </c>
      <c r="B136" t="str">
        <f>B130</f>
        <v>Wholesale</v>
      </c>
      <c r="C136" s="6">
        <f aca="true" t="shared" si="5" ref="C136:I137">C12+C22+C32+C42+C52+C62+C72+C82+C92+C102+C112+C122</f>
        <v>8786712.45</v>
      </c>
      <c r="D136" s="6">
        <f t="shared" si="5"/>
        <v>651217.4500000001</v>
      </c>
      <c r="E136" s="6">
        <f t="shared" si="5"/>
        <v>636.51</v>
      </c>
      <c r="F136" s="6">
        <f t="shared" si="5"/>
        <v>28479279.950000003</v>
      </c>
      <c r="G136" s="6">
        <f>G12+G22+G32+G42+G52+G62+G72+G82+G92+G102+G112+G122</f>
        <v>0</v>
      </c>
      <c r="H136" s="6">
        <f t="shared" si="5"/>
        <v>1327148.6800000002</v>
      </c>
      <c r="I136" s="6">
        <f t="shared" si="5"/>
        <v>205779.19</v>
      </c>
      <c r="J136" s="6">
        <f>SUM(C136:I136)</f>
        <v>39450774.23</v>
      </c>
      <c r="K136" s="6"/>
    </row>
    <row r="137" spans="2:11" ht="12.75">
      <c r="B137" t="str">
        <f>B131</f>
        <v>Retail</v>
      </c>
      <c r="C137" s="6">
        <f t="shared" si="5"/>
        <v>615152.65</v>
      </c>
      <c r="D137" s="6">
        <f t="shared" si="5"/>
        <v>1095174.0699999998</v>
      </c>
      <c r="E137" s="6">
        <f t="shared" si="5"/>
        <v>179427.04</v>
      </c>
      <c r="F137" s="6">
        <f t="shared" si="5"/>
        <v>1237603.66</v>
      </c>
      <c r="G137" s="6">
        <f>G13+G23+G33+G43+G53+G63+G73+G83+G93+G103+G113+G123</f>
        <v>52496.810000000005</v>
      </c>
      <c r="H137" s="6">
        <f t="shared" si="5"/>
        <v>1328918.4700000002</v>
      </c>
      <c r="I137" s="6">
        <f t="shared" si="5"/>
        <v>141366.23</v>
      </c>
      <c r="J137" s="6">
        <f>SUM(C137:I137)</f>
        <v>4650138.930000001</v>
      </c>
      <c r="K137" s="6">
        <f>SUM(J136:J137)</f>
        <v>44100913.16</v>
      </c>
    </row>
    <row r="139" spans="1:11" ht="12.75">
      <c r="A139" t="s">
        <v>16</v>
      </c>
      <c r="B139" t="str">
        <f>B133</f>
        <v>Wholesale</v>
      </c>
      <c r="C139" s="6">
        <f aca="true" t="shared" si="6" ref="C139:I139">C14+C24+C34+C44+C54+C64+C74+C84+C94+C104+C114+C124</f>
        <v>8782123.12</v>
      </c>
      <c r="D139" s="6">
        <f t="shared" si="6"/>
        <v>1122046.9200000002</v>
      </c>
      <c r="E139" s="6">
        <f t="shared" si="6"/>
        <v>0</v>
      </c>
      <c r="F139" s="6">
        <f t="shared" si="6"/>
        <v>31105060.029999997</v>
      </c>
      <c r="G139" s="6">
        <f>G14+G24+G34+G44+G54+G64+G74+G84+G94+G104+G114+G124</f>
        <v>0</v>
      </c>
      <c r="H139" s="6">
        <f t="shared" si="6"/>
        <v>295826.6</v>
      </c>
      <c r="I139" s="6">
        <f t="shared" si="6"/>
        <v>349178.83</v>
      </c>
      <c r="J139" s="6">
        <f>SUM(C139:I139)</f>
        <v>41654235.49999999</v>
      </c>
      <c r="K139" s="6"/>
    </row>
    <row r="140" spans="2:11" ht="12.75">
      <c r="B140" t="str">
        <f>B134</f>
        <v>Retail</v>
      </c>
      <c r="C140" s="6">
        <f aca="true" t="shared" si="7" ref="C140:I140">C15+C25+C35+C45+C55+C65+C75+C85+C95+C105+C115+C125</f>
        <v>1887728.2300000002</v>
      </c>
      <c r="D140" s="6">
        <f t="shared" si="7"/>
        <v>1412344.69</v>
      </c>
      <c r="E140" s="6">
        <f t="shared" si="7"/>
        <v>772839.2</v>
      </c>
      <c r="F140" s="6">
        <f t="shared" si="7"/>
        <v>1611241.11</v>
      </c>
      <c r="G140" s="6">
        <f>G15+G25+G35+G45+G55+G65+G75+G85+G95+G105+G115+G125</f>
        <v>136714.97</v>
      </c>
      <c r="H140" s="6">
        <f t="shared" si="7"/>
        <v>1872514.42</v>
      </c>
      <c r="I140" s="6">
        <f t="shared" si="7"/>
        <v>159785.22000000003</v>
      </c>
      <c r="J140" s="6">
        <f>SUM(C140:I140)</f>
        <v>7853167.84</v>
      </c>
      <c r="K140" s="6">
        <f>SUM(J139:J140)</f>
        <v>49507403.33999999</v>
      </c>
    </row>
    <row r="144" spans="1:10" ht="12.75">
      <c r="A144" t="s">
        <v>15</v>
      </c>
      <c r="B144" s="4"/>
      <c r="C144" s="4" t="s">
        <v>0</v>
      </c>
      <c r="D144" s="4" t="s">
        <v>1</v>
      </c>
      <c r="E144" s="4" t="s">
        <v>2</v>
      </c>
      <c r="F144" s="4" t="s">
        <v>3</v>
      </c>
      <c r="G144" s="4" t="s">
        <v>20</v>
      </c>
      <c r="H144" s="4" t="s">
        <v>4</v>
      </c>
      <c r="I144" s="4" t="s">
        <v>5</v>
      </c>
      <c r="J144" s="4"/>
    </row>
    <row r="145" spans="2:9" ht="12.75">
      <c r="B145" s="128" t="s">
        <v>18</v>
      </c>
      <c r="C145" s="6">
        <f aca="true" t="shared" si="8" ref="C145:I146">C100+C110+C120+C12+C22+C32+C42+C52+C62+C72+C82+C92</f>
        <v>9266995.55</v>
      </c>
      <c r="D145" s="6">
        <f t="shared" si="8"/>
        <v>569485.54</v>
      </c>
      <c r="E145" s="6">
        <f t="shared" si="8"/>
        <v>12711.26</v>
      </c>
      <c r="F145" s="6">
        <f t="shared" si="8"/>
        <v>29765257.36</v>
      </c>
      <c r="G145" s="6">
        <f t="shared" si="8"/>
        <v>0</v>
      </c>
      <c r="H145" s="6">
        <f t="shared" si="8"/>
        <v>1036937.51</v>
      </c>
      <c r="I145" s="6">
        <f t="shared" si="8"/>
        <v>244881.90999999995</v>
      </c>
    </row>
    <row r="146" spans="2:9" ht="12.75">
      <c r="B146" s="128" t="s">
        <v>19</v>
      </c>
      <c r="C146" s="6">
        <f t="shared" si="8"/>
        <v>496722.42999999993</v>
      </c>
      <c r="D146" s="6">
        <f t="shared" si="8"/>
        <v>999826.16</v>
      </c>
      <c r="E146" s="6">
        <f t="shared" si="8"/>
        <v>142933.46</v>
      </c>
      <c r="F146" s="6">
        <f t="shared" si="8"/>
        <v>1213629.56</v>
      </c>
      <c r="G146" s="6">
        <f t="shared" si="8"/>
        <v>31708.570000000003</v>
      </c>
      <c r="H146" s="6">
        <f t="shared" si="8"/>
        <v>1304014.91</v>
      </c>
      <c r="I146" s="6">
        <f t="shared" si="8"/>
        <v>112242.95999999999</v>
      </c>
    </row>
    <row r="147" spans="3:9" ht="12.75">
      <c r="C147" s="23"/>
      <c r="D147" s="23"/>
      <c r="E147" s="23"/>
      <c r="F147" s="23"/>
      <c r="G147" s="23"/>
      <c r="H147" s="23"/>
      <c r="I147" s="23"/>
    </row>
    <row r="148" spans="3:9" ht="13.5" thickBot="1">
      <c r="C148" s="24">
        <f aca="true" t="shared" si="9" ref="C148:I148">SUM(C145:C147)</f>
        <v>9763717.98</v>
      </c>
      <c r="D148" s="24">
        <f t="shared" si="9"/>
        <v>1569311.7000000002</v>
      </c>
      <c r="E148" s="24">
        <f t="shared" si="9"/>
        <v>155644.72</v>
      </c>
      <c r="F148" s="24">
        <f t="shared" si="9"/>
        <v>30978886.919999998</v>
      </c>
      <c r="G148" s="24">
        <f t="shared" si="9"/>
        <v>31708.570000000003</v>
      </c>
      <c r="H148" s="24">
        <f t="shared" si="9"/>
        <v>2340952.42</v>
      </c>
      <c r="I148" s="24">
        <f t="shared" si="9"/>
        <v>357124.86999999994</v>
      </c>
    </row>
    <row r="149" ht="13.5" thickTop="1"/>
    <row r="151" spans="1:2" ht="12.75">
      <c r="A151" t="s">
        <v>17</v>
      </c>
      <c r="B151" s="128"/>
    </row>
    <row r="152" spans="2:9" ht="12.75">
      <c r="B152" s="128" t="s">
        <v>18</v>
      </c>
      <c r="C152" s="6">
        <f>C102+C112+C122+C14+C24+C34+C44+C54+C64+C74+C84+C94</f>
        <v>8754706.91</v>
      </c>
      <c r="D152" s="6">
        <f>D102+D112+D122+D14+D24+D34+D44+D54+D64+D74+D84+D94</f>
        <v>1033539.59</v>
      </c>
      <c r="E152" s="6">
        <f>E138+E112+E122+E14+E24+E34+E44+E54+E64+E74+E84+E94</f>
        <v>0</v>
      </c>
      <c r="F152" s="6">
        <f aca="true" t="shared" si="10" ref="F152:I153">F102+F112+F122+F14+F24+F34+F44+F54+F64+F74+F84+F94</f>
        <v>29314555.970000003</v>
      </c>
      <c r="G152" s="6">
        <f t="shared" si="10"/>
        <v>0</v>
      </c>
      <c r="H152" s="6">
        <f t="shared" si="10"/>
        <v>505177.82</v>
      </c>
      <c r="I152" s="6">
        <f t="shared" si="10"/>
        <v>310181.84</v>
      </c>
    </row>
    <row r="153" spans="2:9" ht="12.75">
      <c r="B153" s="128" t="s">
        <v>19</v>
      </c>
      <c r="C153" s="129">
        <f>C103+C113+C123+C15+C25+C35+C45+C55+C65+C75+C85+C95</f>
        <v>1563600.94</v>
      </c>
      <c r="D153" s="129">
        <f>D103+D113+D123+D15+D25+D35+D45+D55+D65+D75+D85+D95</f>
        <v>1222151.69</v>
      </c>
      <c r="E153" s="129">
        <f>E103+E113+E123+E15+E25+E35+E45+E55+E65+E75+E85+E95</f>
        <v>536305.32</v>
      </c>
      <c r="F153" s="129">
        <f t="shared" si="10"/>
        <v>1340591.22</v>
      </c>
      <c r="G153" s="129">
        <f t="shared" si="10"/>
        <v>96838.56</v>
      </c>
      <c r="H153" s="129">
        <f t="shared" si="10"/>
        <v>1601644.99</v>
      </c>
      <c r="I153" s="129">
        <f t="shared" si="10"/>
        <v>163000.74</v>
      </c>
    </row>
    <row r="155" spans="3:9" ht="13.5" thickBot="1">
      <c r="C155" s="24">
        <f aca="true" t="shared" si="11" ref="C155:I155">SUM(C152:C154)</f>
        <v>10318307.85</v>
      </c>
      <c r="D155" s="24">
        <f t="shared" si="11"/>
        <v>2255691.28</v>
      </c>
      <c r="E155" s="24">
        <f t="shared" si="11"/>
        <v>536305.32</v>
      </c>
      <c r="F155" s="24">
        <f t="shared" si="11"/>
        <v>30655147.19</v>
      </c>
      <c r="G155" s="24">
        <f t="shared" si="11"/>
        <v>96838.56</v>
      </c>
      <c r="H155" s="24">
        <f t="shared" si="11"/>
        <v>2106822.81</v>
      </c>
      <c r="I155" s="24">
        <f t="shared" si="11"/>
        <v>473182.58</v>
      </c>
    </row>
    <row r="156" ht="13.5" thickTop="1"/>
  </sheetData>
  <sheetProtection/>
  <mergeCells count="59">
    <mergeCell ref="A94:A95"/>
    <mergeCell ref="A104:A105"/>
    <mergeCell ref="A114:A115"/>
    <mergeCell ref="A124:A125"/>
    <mergeCell ref="A120:A121"/>
    <mergeCell ref="A100:A101"/>
    <mergeCell ref="A106:A107"/>
    <mergeCell ref="A108:A109"/>
    <mergeCell ref="A110:A111"/>
    <mergeCell ref="A102:A103"/>
    <mergeCell ref="A96:A97"/>
    <mergeCell ref="A98:A99"/>
    <mergeCell ref="A116:A117"/>
    <mergeCell ref="A118:A119"/>
    <mergeCell ref="A112:A113"/>
    <mergeCell ref="A80:A81"/>
    <mergeCell ref="A86:A87"/>
    <mergeCell ref="A88:A89"/>
    <mergeCell ref="A90:A91"/>
    <mergeCell ref="A82:A83"/>
    <mergeCell ref="A84:A85"/>
    <mergeCell ref="A68:A69"/>
    <mergeCell ref="A70:A71"/>
    <mergeCell ref="A76:A77"/>
    <mergeCell ref="A78:A79"/>
    <mergeCell ref="A72:A73"/>
    <mergeCell ref="A74:A75"/>
    <mergeCell ref="A58:A59"/>
    <mergeCell ref="A60:A61"/>
    <mergeCell ref="A66:A67"/>
    <mergeCell ref="A52:A53"/>
    <mergeCell ref="A62:A63"/>
    <mergeCell ref="A54:A55"/>
    <mergeCell ref="A64:A65"/>
    <mergeCell ref="A46:A47"/>
    <mergeCell ref="A48:A49"/>
    <mergeCell ref="A42:A43"/>
    <mergeCell ref="A50:A51"/>
    <mergeCell ref="A44:A45"/>
    <mergeCell ref="A40:A41"/>
    <mergeCell ref="A36:A37"/>
    <mergeCell ref="A6:A7"/>
    <mergeCell ref="A8:A9"/>
    <mergeCell ref="A10:A11"/>
    <mergeCell ref="A16:A17"/>
    <mergeCell ref="A12:A13"/>
    <mergeCell ref="A32:A33"/>
    <mergeCell ref="A14:A15"/>
    <mergeCell ref="A24:A25"/>
    <mergeCell ref="A38:A39"/>
    <mergeCell ref="A34:A35"/>
    <mergeCell ref="A122:A123"/>
    <mergeCell ref="A92:A93"/>
    <mergeCell ref="A18:A19"/>
    <mergeCell ref="A20:A21"/>
    <mergeCell ref="A26:A27"/>
    <mergeCell ref="A28:A29"/>
    <mergeCell ref="A22:A23"/>
    <mergeCell ref="A30:A31"/>
  </mergeCells>
  <printOptions/>
  <pageMargins left="0.25" right="0.25" top="0.5" bottom="0.5" header="0.5" footer="0.5"/>
  <pageSetup fitToHeight="2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Orlando Sanford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Stypulkowski</dc:creator>
  <cp:keywords/>
  <dc:description/>
  <cp:lastModifiedBy>Matthew Antonio</cp:lastModifiedBy>
  <cp:lastPrinted>2013-06-20T20:56:58Z</cp:lastPrinted>
  <dcterms:created xsi:type="dcterms:W3CDTF">2002-01-22T13:41:36Z</dcterms:created>
  <dcterms:modified xsi:type="dcterms:W3CDTF">2021-03-26T13:12:06Z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